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-File-01\Data\CLIENTS\CARLOS, CITY OF\2024\Audit\Trial Balance and Workpapers - 24\"/>
    </mc:Choice>
  </mc:AlternateContent>
  <xr:revisionPtr revIDLastSave="0" documentId="13_ncr:1_{5EDB8A1F-0612-45BB-9558-19F137BCCAE9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General" sheetId="1" r:id="rId1"/>
    <sheet name="Fire Operating-SR" sheetId="10" r:id="rId2"/>
    <sheet name="Fire - Capital Project" sheetId="18" r:id="rId3"/>
    <sheet name="Debt Service Fund" sheetId="19" state="hidden" r:id="rId4"/>
    <sheet name="Water-Prop" sheetId="12" r:id="rId5"/>
    <sheet name="Sewer-Prop" sheetId="13" r:id="rId6"/>
    <sheet name="Cash Recap" sheetId="15" r:id="rId7"/>
  </sheets>
  <definedNames>
    <definedName name="_xlnm.Print_Area" localSheetId="1">'Fire Operating-SR'!$A$1:$P$110</definedName>
    <definedName name="_xlnm.Print_Titles" localSheetId="1">'Fire Operating-SR'!$1:$6</definedName>
    <definedName name="_xlnm.Print_Titles" localSheetId="0">General!$1:$6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6" i="10" l="1"/>
  <c r="L208" i="1"/>
  <c r="J69" i="10"/>
  <c r="O47" i="13" l="1"/>
  <c r="O23" i="13"/>
  <c r="O26" i="12"/>
  <c r="O64" i="12"/>
  <c r="O22" i="10"/>
  <c r="L10" i="18" l="1"/>
  <c r="G10" i="15"/>
  <c r="L23" i="18" l="1"/>
  <c r="L20" i="18"/>
  <c r="T31" i="18"/>
  <c r="S31" i="18"/>
  <c r="L31" i="18"/>
  <c r="L24" i="18"/>
  <c r="L42" i="10"/>
  <c r="O31" i="18" l="1"/>
  <c r="J208" i="1" l="1"/>
  <c r="K119" i="1"/>
  <c r="G8" i="15" l="1"/>
  <c r="S166" i="1" l="1"/>
  <c r="U166" i="1"/>
  <c r="V166" i="1"/>
  <c r="V165" i="1"/>
  <c r="U165" i="1"/>
  <c r="S165" i="1"/>
  <c r="V140" i="1"/>
  <c r="U140" i="1"/>
  <c r="S140" i="1"/>
  <c r="L93" i="10"/>
  <c r="L94" i="10"/>
  <c r="L95" i="10"/>
  <c r="L96" i="10"/>
  <c r="L356" i="1"/>
  <c r="L24" i="10" l="1"/>
  <c r="L104" i="1"/>
  <c r="L18" i="1" l="1"/>
  <c r="V185" i="1" l="1"/>
  <c r="L215" i="1"/>
  <c r="U185" i="1"/>
  <c r="V126" i="1"/>
  <c r="P44" i="13"/>
  <c r="P42" i="12"/>
  <c r="P53" i="10"/>
  <c r="L260" i="1" l="1"/>
  <c r="J17" i="1"/>
  <c r="J124" i="1"/>
  <c r="J16" i="1"/>
  <c r="J355" i="1"/>
  <c r="L77" i="13"/>
  <c r="L70" i="13"/>
  <c r="L69" i="13"/>
  <c r="L48" i="13"/>
  <c r="L65" i="12"/>
  <c r="L80" i="12"/>
  <c r="L67" i="12"/>
  <c r="L66" i="12"/>
  <c r="L46" i="12"/>
  <c r="L88" i="10"/>
  <c r="L78" i="10"/>
  <c r="L76" i="10"/>
  <c r="L92" i="10"/>
  <c r="L264" i="1"/>
  <c r="L263" i="1"/>
  <c r="L262" i="1"/>
  <c r="L261" i="1"/>
  <c r="L222" i="1"/>
  <c r="L223" i="1"/>
  <c r="L304" i="1"/>
  <c r="L319" i="1"/>
  <c r="L308" i="1"/>
  <c r="L302" i="1"/>
  <c r="L299" i="1"/>
  <c r="L295" i="1"/>
  <c r="L294" i="1"/>
  <c r="L293" i="1"/>
  <c r="L292" i="1"/>
  <c r="L287" i="1"/>
  <c r="L267" i="1"/>
  <c r="L244" i="1"/>
  <c r="L194" i="1"/>
  <c r="L22" i="13"/>
  <c r="L25" i="12"/>
  <c r="L24" i="12"/>
  <c r="L23" i="12"/>
  <c r="L21" i="10"/>
  <c r="L93" i="1"/>
  <c r="L120" i="1"/>
  <c r="L109" i="1"/>
  <c r="L102" i="1"/>
  <c r="L86" i="1"/>
  <c r="N8" i="15"/>
  <c r="J11" i="15"/>
  <c r="I8" i="13"/>
  <c r="I10" i="12"/>
  <c r="I8" i="12"/>
  <c r="I8" i="10"/>
  <c r="I9" i="1"/>
  <c r="G15" i="12"/>
  <c r="G25" i="1"/>
  <c r="I17" i="12" l="1"/>
  <c r="V39" i="1" l="1"/>
  <c r="L84" i="12"/>
  <c r="L83" i="12"/>
  <c r="O83" i="12" s="1"/>
  <c r="L37" i="12"/>
  <c r="L34" i="12"/>
  <c r="O34" i="12" s="1"/>
  <c r="L15" i="12"/>
  <c r="L8" i="12"/>
  <c r="L32" i="19"/>
  <c r="L31" i="19"/>
  <c r="O31" i="19" s="1"/>
  <c r="L24" i="19"/>
  <c r="L21" i="19"/>
  <c r="O21" i="19" s="1"/>
  <c r="G12" i="19"/>
  <c r="L12" i="19" s="1"/>
  <c r="I9" i="19"/>
  <c r="L9" i="19" s="1"/>
  <c r="K39" i="19"/>
  <c r="J39" i="19"/>
  <c r="I39" i="19"/>
  <c r="H39" i="19"/>
  <c r="L37" i="19"/>
  <c r="G37" i="19"/>
  <c r="L34" i="19"/>
  <c r="G34" i="19"/>
  <c r="L33" i="19"/>
  <c r="G33" i="19"/>
  <c r="L39" i="19"/>
  <c r="G39" i="19"/>
  <c r="K26" i="19"/>
  <c r="J26" i="19"/>
  <c r="I26" i="19"/>
  <c r="G26" i="19"/>
  <c r="L26" i="19"/>
  <c r="K17" i="19"/>
  <c r="J17" i="19"/>
  <c r="I17" i="19"/>
  <c r="L17" i="19" s="1"/>
  <c r="G17" i="19"/>
  <c r="L15" i="19"/>
  <c r="L14" i="19"/>
  <c r="L13" i="19"/>
  <c r="O12" i="19"/>
  <c r="R48" i="10"/>
  <c r="R49" i="10"/>
  <c r="R50" i="10"/>
  <c r="R51" i="10"/>
  <c r="Q51" i="10"/>
  <c r="Q50" i="10"/>
  <c r="Q49" i="10"/>
  <c r="Q48" i="10"/>
  <c r="R46" i="10"/>
  <c r="R47" i="10"/>
  <c r="Q46" i="10"/>
  <c r="Q47" i="10"/>
  <c r="Q106" i="10"/>
  <c r="U156" i="1"/>
  <c r="V156" i="1"/>
  <c r="U157" i="1"/>
  <c r="V157" i="1"/>
  <c r="U158" i="1"/>
  <c r="V158" i="1"/>
  <c r="V155" i="1"/>
  <c r="V160" i="1" s="1"/>
  <c r="U155" i="1"/>
  <c r="U160" i="1" s="1"/>
  <c r="U147" i="1"/>
  <c r="V147" i="1"/>
  <c r="U148" i="1"/>
  <c r="V148" i="1"/>
  <c r="U149" i="1"/>
  <c r="V149" i="1"/>
  <c r="S150" i="1"/>
  <c r="U150" i="1"/>
  <c r="V150" i="1"/>
  <c r="S151" i="1"/>
  <c r="U151" i="1"/>
  <c r="V151" i="1"/>
  <c r="V146" i="1"/>
  <c r="U146" i="1"/>
  <c r="U142" i="1"/>
  <c r="V142" i="1"/>
  <c r="V141" i="1"/>
  <c r="U141" i="1"/>
  <c r="V139" i="1"/>
  <c r="V143" i="1" s="1"/>
  <c r="U139" i="1"/>
  <c r="U143" i="1" s="1"/>
  <c r="U130" i="1"/>
  <c r="V130" i="1"/>
  <c r="U131" i="1"/>
  <c r="V131" i="1"/>
  <c r="U132" i="1"/>
  <c r="V132" i="1"/>
  <c r="U133" i="1"/>
  <c r="V133" i="1"/>
  <c r="S134" i="1"/>
  <c r="U134" i="1"/>
  <c r="V134" i="1"/>
  <c r="U135" i="1"/>
  <c r="V135" i="1"/>
  <c r="L195" i="1"/>
  <c r="L193" i="1"/>
  <c r="L192" i="1"/>
  <c r="L191" i="1"/>
  <c r="L190" i="1"/>
  <c r="L189" i="1"/>
  <c r="L188" i="1"/>
  <c r="S135" i="1" s="1"/>
  <c r="U126" i="1"/>
  <c r="U60" i="1"/>
  <c r="V60" i="1"/>
  <c r="U61" i="1"/>
  <c r="V61" i="1"/>
  <c r="U62" i="1"/>
  <c r="V62" i="1"/>
  <c r="U63" i="1"/>
  <c r="V63" i="1"/>
  <c r="S61" i="1"/>
  <c r="S59" i="1"/>
  <c r="V59" i="1"/>
  <c r="U59" i="1"/>
  <c r="V55" i="1"/>
  <c r="U55" i="1"/>
  <c r="V52" i="1"/>
  <c r="U52" i="1"/>
  <c r="V48" i="1"/>
  <c r="U48" i="1"/>
  <c r="V40" i="1"/>
  <c r="V41" i="1"/>
  <c r="V42" i="1"/>
  <c r="V43" i="1"/>
  <c r="V44" i="1"/>
  <c r="V35" i="1"/>
  <c r="U39" i="1"/>
  <c r="U40" i="1"/>
  <c r="U41" i="1"/>
  <c r="U42" i="1"/>
  <c r="U43" i="1"/>
  <c r="U44" i="1"/>
  <c r="U35" i="1"/>
  <c r="V30" i="1"/>
  <c r="U30" i="1"/>
  <c r="S40" i="1"/>
  <c r="S42" i="1"/>
  <c r="R106" i="10"/>
  <c r="L210" i="1"/>
  <c r="V129" i="1"/>
  <c r="C11" i="15" l="1"/>
  <c r="O8" i="12"/>
  <c r="O32" i="19"/>
  <c r="G41" i="19"/>
  <c r="L41" i="19"/>
  <c r="L43" i="19" s="1"/>
  <c r="L5" i="19" s="1"/>
  <c r="I41" i="19"/>
  <c r="J41" i="19"/>
  <c r="K41" i="19"/>
  <c r="U358" i="1"/>
  <c r="U129" i="1"/>
  <c r="L290" i="1" l="1"/>
  <c r="L178" i="1"/>
  <c r="L179" i="1"/>
  <c r="L180" i="1"/>
  <c r="L181" i="1"/>
  <c r="L23" i="10" l="1"/>
  <c r="R20" i="10" l="1"/>
  <c r="Q27" i="12"/>
  <c r="N10" i="15" l="1"/>
  <c r="J9" i="15"/>
  <c r="J27" i="1" l="1"/>
  <c r="I358" i="1"/>
  <c r="L14" i="1"/>
  <c r="L268" i="1"/>
  <c r="L269" i="1"/>
  <c r="S142" i="1" s="1"/>
  <c r="L123" i="1"/>
  <c r="S72" i="1" s="1"/>
  <c r="L119" i="1"/>
  <c r="S60" i="1" s="1"/>
  <c r="L101" i="1"/>
  <c r="S41" i="1" s="1"/>
  <c r="L17" i="1"/>
  <c r="L11" i="1" l="1"/>
  <c r="C9" i="15" s="1"/>
  <c r="L65" i="13"/>
  <c r="L55" i="13"/>
  <c r="R28" i="13" s="1"/>
  <c r="L27" i="13"/>
  <c r="O27" i="13" s="1"/>
  <c r="I92" i="12"/>
  <c r="L75" i="12"/>
  <c r="L74" i="12"/>
  <c r="L73" i="12"/>
  <c r="L72" i="12"/>
  <c r="L69" i="12"/>
  <c r="L57" i="12"/>
  <c r="L52" i="12"/>
  <c r="L51" i="12"/>
  <c r="L50" i="12"/>
  <c r="L48" i="12"/>
  <c r="I41" i="13"/>
  <c r="L28" i="12"/>
  <c r="L22" i="10"/>
  <c r="L29" i="10"/>
  <c r="L30" i="10"/>
  <c r="L31" i="10"/>
  <c r="L83" i="10"/>
  <c r="L79" i="10"/>
  <c r="L75" i="10"/>
  <c r="L73" i="10"/>
  <c r="L66" i="10"/>
  <c r="L65" i="10"/>
  <c r="L63" i="10"/>
  <c r="L61" i="10"/>
  <c r="L59" i="10"/>
  <c r="L58" i="10"/>
  <c r="L57" i="10"/>
  <c r="L56" i="10"/>
  <c r="L55" i="10"/>
  <c r="L54" i="10"/>
  <c r="O46" i="10" s="1"/>
  <c r="L335" i="1"/>
  <c r="L334" i="1"/>
  <c r="L333" i="1"/>
  <c r="L332" i="1"/>
  <c r="L331" i="1"/>
  <c r="L330" i="1"/>
  <c r="L329" i="1"/>
  <c r="S157" i="1" s="1"/>
  <c r="L327" i="1"/>
  <c r="L326" i="1"/>
  <c r="S158" i="1" s="1"/>
  <c r="L325" i="1"/>
  <c r="L324" i="1"/>
  <c r="L323" i="1"/>
  <c r="L322" i="1"/>
  <c r="L321" i="1"/>
  <c r="L320" i="1"/>
  <c r="L318" i="1"/>
  <c r="L317" i="1"/>
  <c r="S156" i="1" s="1"/>
  <c r="L315" i="1"/>
  <c r="L312" i="1"/>
  <c r="L311" i="1"/>
  <c r="S148" i="1" s="1"/>
  <c r="L309" i="1"/>
  <c r="S149" i="1" s="1"/>
  <c r="L275" i="1"/>
  <c r="L276" i="1"/>
  <c r="L277" i="1"/>
  <c r="L303" i="1"/>
  <c r="S147" i="1" s="1"/>
  <c r="L300" i="1"/>
  <c r="L298" i="1"/>
  <c r="L297" i="1"/>
  <c r="L296" i="1"/>
  <c r="L291" i="1"/>
  <c r="L289" i="1"/>
  <c r="L288" i="1"/>
  <c r="L286" i="1"/>
  <c r="L285" i="1"/>
  <c r="L284" i="1"/>
  <c r="L283" i="1"/>
  <c r="L282" i="1"/>
  <c r="L306" i="1"/>
  <c r="L254" i="1"/>
  <c r="L253" i="1"/>
  <c r="L250" i="1"/>
  <c r="L239" i="1"/>
  <c r="L227" i="1"/>
  <c r="L221" i="1"/>
  <c r="L220" i="1"/>
  <c r="L219" i="1"/>
  <c r="L218" i="1"/>
  <c r="L217" i="1"/>
  <c r="L214" i="1"/>
  <c r="L213" i="1"/>
  <c r="L212" i="1"/>
  <c r="L209" i="1"/>
  <c r="S131" i="1" s="1"/>
  <c r="L207" i="1"/>
  <c r="L204" i="1"/>
  <c r="L201" i="1"/>
  <c r="L199" i="1"/>
  <c r="L182" i="1"/>
  <c r="L176" i="1"/>
  <c r="I44" i="10"/>
  <c r="L103" i="1"/>
  <c r="S43" i="1" s="1"/>
  <c r="L110" i="1"/>
  <c r="L92" i="1"/>
  <c r="L89" i="1"/>
  <c r="O28" i="10" l="1"/>
  <c r="R185" i="1"/>
  <c r="L9" i="1"/>
  <c r="I27" i="1"/>
  <c r="T104" i="10" l="1"/>
  <c r="S104" i="10"/>
  <c r="L66" i="13" l="1"/>
  <c r="L63" i="12"/>
  <c r="L77" i="10"/>
  <c r="L69" i="10"/>
  <c r="O48" i="10" s="1"/>
  <c r="L301" i="1"/>
  <c r="L236" i="1"/>
  <c r="S100" i="10" l="1"/>
  <c r="T100" i="10"/>
  <c r="T106" i="10"/>
  <c r="L118" i="1" l="1"/>
  <c r="S63" i="1" s="1"/>
  <c r="R44" i="10" l="1"/>
  <c r="Q44" i="10"/>
  <c r="L60" i="13" l="1"/>
  <c r="L64" i="13" l="1"/>
  <c r="L88" i="12"/>
  <c r="L86" i="12"/>
  <c r="L61" i="12"/>
  <c r="L354" i="1"/>
  <c r="L22" i="1" l="1"/>
  <c r="V152" i="1" l="1"/>
  <c r="V66" i="1"/>
  <c r="S42" i="10"/>
  <c r="V67" i="1" l="1"/>
  <c r="V45" i="1"/>
  <c r="L91" i="10" l="1"/>
  <c r="O51" i="10" s="1"/>
  <c r="V136" i="1" l="1"/>
  <c r="V162" i="1" s="1"/>
  <c r="V167" i="1"/>
  <c r="V169" i="1" l="1"/>
  <c r="J16" i="18" l="1"/>
  <c r="L16" i="1" l="1"/>
  <c r="L75" i="13" l="1"/>
  <c r="L79" i="12"/>
  <c r="O79" i="12" s="1"/>
  <c r="L89" i="12"/>
  <c r="O89" i="12" s="1"/>
  <c r="L185" i="1"/>
  <c r="L32" i="12"/>
  <c r="O32" i="12" s="1"/>
  <c r="L38" i="13"/>
  <c r="O38" i="13" s="1"/>
  <c r="O42" i="10"/>
  <c r="L97" i="1"/>
  <c r="S44" i="1" s="1"/>
  <c r="C20" i="15" l="1"/>
  <c r="J13" i="15" l="1"/>
  <c r="J12" i="15"/>
  <c r="J10" i="15"/>
  <c r="J8" i="15"/>
  <c r="O15" i="15" l="1"/>
  <c r="J14" i="15"/>
  <c r="L14" i="15"/>
  <c r="N14" i="15"/>
  <c r="N16" i="15" s="1"/>
  <c r="H15" i="15"/>
  <c r="O14" i="15" l="1"/>
  <c r="J16" i="15"/>
  <c r="E3" i="15" l="1"/>
  <c r="V31" i="1" l="1"/>
  <c r="U31" i="1"/>
  <c r="L71" i="13" l="1"/>
  <c r="L68" i="13"/>
  <c r="L68" i="12"/>
  <c r="L249" i="1" l="1"/>
  <c r="L240" i="1"/>
  <c r="L266" i="1"/>
  <c r="S141" i="1" s="1"/>
  <c r="L13" i="13" l="1"/>
  <c r="S37" i="10" l="1"/>
  <c r="U152" i="1"/>
  <c r="L56" i="12"/>
  <c r="L64" i="10"/>
  <c r="L89" i="10"/>
  <c r="O49" i="10" s="1"/>
  <c r="L87" i="10"/>
  <c r="L81" i="10"/>
  <c r="L39" i="13"/>
  <c r="O39" i="13" s="1"/>
  <c r="L26" i="13"/>
  <c r="L37" i="10"/>
  <c r="O37" i="10" s="1"/>
  <c r="S44" i="10" l="1"/>
  <c r="S106" i="10"/>
  <c r="U167" i="1"/>
  <c r="L76" i="12" l="1"/>
  <c r="O61" i="12" s="1"/>
  <c r="L101" i="10"/>
  <c r="L84" i="10"/>
  <c r="L355" i="1"/>
  <c r="L349" i="1"/>
  <c r="L348" i="1"/>
  <c r="L347" i="1"/>
  <c r="L344" i="1"/>
  <c r="L343" i="1"/>
  <c r="L339" i="1"/>
  <c r="L338" i="1"/>
  <c r="L337" i="1"/>
  <c r="S155" i="1" s="1"/>
  <c r="S160" i="1" s="1"/>
  <c r="L281" i="1"/>
  <c r="L280" i="1"/>
  <c r="L279" i="1"/>
  <c r="L278" i="1"/>
  <c r="S146" i="1" s="1"/>
  <c r="S152" i="1" s="1"/>
  <c r="P146" i="1" s="1"/>
  <c r="L258" i="1"/>
  <c r="S139" i="1" s="1"/>
  <c r="S143" i="1" s="1"/>
  <c r="P139" i="1" s="1"/>
  <c r="L248" i="1"/>
  <c r="L247" i="1"/>
  <c r="L246" i="1"/>
  <c r="L245" i="1"/>
  <c r="L242" i="1"/>
  <c r="L241" i="1"/>
  <c r="L238" i="1"/>
  <c r="S132" i="1" s="1"/>
  <c r="L237" i="1"/>
  <c r="L235" i="1"/>
  <c r="L234" i="1"/>
  <c r="L233" i="1"/>
  <c r="L232" i="1"/>
  <c r="L231" i="1"/>
  <c r="L225" i="1"/>
  <c r="S133" i="1" s="1"/>
  <c r="L216" i="1"/>
  <c r="L211" i="1"/>
  <c r="L206" i="1"/>
  <c r="R184" i="1" s="1"/>
  <c r="L205" i="1"/>
  <c r="L203" i="1"/>
  <c r="L202" i="1"/>
  <c r="L200" i="1"/>
  <c r="L198" i="1"/>
  <c r="S130" i="1" s="1"/>
  <c r="L184" i="1"/>
  <c r="L183" i="1"/>
  <c r="L177" i="1"/>
  <c r="S129" i="1" s="1"/>
  <c r="S136" i="1" s="1"/>
  <c r="P129" i="1" s="1"/>
  <c r="L37" i="13"/>
  <c r="O37" i="13" s="1"/>
  <c r="R183" i="1" l="1"/>
  <c r="P173" i="1"/>
  <c r="P155" i="1"/>
  <c r="S162" i="1"/>
  <c r="K44" i="10"/>
  <c r="J44" i="10"/>
  <c r="G44" i="10"/>
  <c r="L40" i="10"/>
  <c r="O40" i="10" s="1"/>
  <c r="G4" i="12" l="1"/>
  <c r="G4" i="13" s="1"/>
  <c r="U66" i="1" l="1"/>
  <c r="U67" i="1" s="1"/>
  <c r="L32" i="13" l="1"/>
  <c r="L56" i="13"/>
  <c r="R26" i="13" s="1"/>
  <c r="L34" i="13"/>
  <c r="O34" i="13" s="1"/>
  <c r="G6" i="13"/>
  <c r="L6" i="13"/>
  <c r="G6" i="12"/>
  <c r="L6" i="12"/>
  <c r="L35" i="12"/>
  <c r="O35" i="12" s="1"/>
  <c r="L71" i="10"/>
  <c r="G6" i="10"/>
  <c r="G6" i="1"/>
  <c r="L91" i="1"/>
  <c r="K33" i="18"/>
  <c r="J33" i="18"/>
  <c r="I33" i="18"/>
  <c r="H33" i="18"/>
  <c r="K26" i="18"/>
  <c r="J26" i="18"/>
  <c r="I26" i="18"/>
  <c r="L26" i="18"/>
  <c r="K16" i="18"/>
  <c r="I16" i="18"/>
  <c r="L14" i="18"/>
  <c r="L13" i="18"/>
  <c r="G16" i="18"/>
  <c r="G26" i="18" l="1"/>
  <c r="K35" i="18"/>
  <c r="G33" i="18"/>
  <c r="G35" i="18" s="1"/>
  <c r="I35" i="18"/>
  <c r="L16" i="18"/>
  <c r="O13" i="18" s="1"/>
  <c r="L33" i="18"/>
  <c r="L35" i="18" s="1"/>
  <c r="J35" i="18"/>
  <c r="L9" i="18"/>
  <c r="L37" i="18" l="1"/>
  <c r="L5" i="18" s="1"/>
  <c r="L353" i="1" l="1"/>
  <c r="L358" i="1" s="1"/>
  <c r="P9" i="1"/>
  <c r="C8" i="15" l="1"/>
  <c r="S167" i="1"/>
  <c r="P165" i="1" s="1"/>
  <c r="V49" i="1" l="1"/>
  <c r="U49" i="1"/>
  <c r="U45" i="1" l="1"/>
  <c r="U64" i="1"/>
  <c r="V64" i="1"/>
  <c r="U136" i="1"/>
  <c r="U162" i="1" s="1"/>
  <c r="L8" i="13" l="1"/>
  <c r="O8" i="13" l="1"/>
  <c r="K81" i="13"/>
  <c r="J81" i="13"/>
  <c r="I81" i="13"/>
  <c r="I83" i="13" s="1"/>
  <c r="H81" i="13"/>
  <c r="G81" i="13"/>
  <c r="L78" i="13"/>
  <c r="L76" i="13"/>
  <c r="L74" i="13"/>
  <c r="O74" i="13" s="1"/>
  <c r="L73" i="13"/>
  <c r="O73" i="13" s="1"/>
  <c r="L72" i="13"/>
  <c r="L67" i="13"/>
  <c r="O67" i="13" s="1"/>
  <c r="L63" i="13"/>
  <c r="O63" i="13" s="1"/>
  <c r="L62" i="13"/>
  <c r="O62" i="13" s="1"/>
  <c r="L61" i="13"/>
  <c r="O60" i="13" s="1"/>
  <c r="L59" i="13"/>
  <c r="L58" i="13"/>
  <c r="L57" i="13"/>
  <c r="R27" i="13" s="1"/>
  <c r="L54" i="13"/>
  <c r="L52" i="13"/>
  <c r="L51" i="13"/>
  <c r="L53" i="13"/>
  <c r="L50" i="13"/>
  <c r="L49" i="13"/>
  <c r="L47" i="13"/>
  <c r="K41" i="13"/>
  <c r="J41" i="13"/>
  <c r="G41" i="13"/>
  <c r="L33" i="13"/>
  <c r="O32" i="13" s="1"/>
  <c r="L28" i="13"/>
  <c r="L25" i="13"/>
  <c r="L24" i="13"/>
  <c r="L23" i="13"/>
  <c r="K16" i="13"/>
  <c r="J16" i="13"/>
  <c r="I16" i="13"/>
  <c r="G16" i="13"/>
  <c r="L14" i="13"/>
  <c r="L12" i="13"/>
  <c r="K92" i="12"/>
  <c r="K94" i="12" s="1"/>
  <c r="J92" i="12"/>
  <c r="H92" i="12"/>
  <c r="G92" i="12"/>
  <c r="L90" i="12"/>
  <c r="O90" i="12" s="1"/>
  <c r="L87" i="12"/>
  <c r="O87" i="12" s="1"/>
  <c r="L85" i="12"/>
  <c r="L77" i="12"/>
  <c r="L78" i="12"/>
  <c r="L71" i="12"/>
  <c r="O71" i="12" s="1"/>
  <c r="L70" i="12"/>
  <c r="O70" i="12" s="1"/>
  <c r="L64" i="12"/>
  <c r="L62" i="12"/>
  <c r="L60" i="12"/>
  <c r="O60" i="12" s="1"/>
  <c r="L59" i="12"/>
  <c r="L58" i="12"/>
  <c r="O58" i="12" s="1"/>
  <c r="L55" i="12"/>
  <c r="R28" i="12" s="1"/>
  <c r="L54" i="12"/>
  <c r="R27" i="12" s="1"/>
  <c r="L53" i="12"/>
  <c r="R29" i="12" s="1"/>
  <c r="L49" i="12"/>
  <c r="L47" i="12"/>
  <c r="L45" i="12"/>
  <c r="O45" i="12" s="1"/>
  <c r="K39" i="12"/>
  <c r="J39" i="12"/>
  <c r="I39" i="12"/>
  <c r="I94" i="12" s="1"/>
  <c r="G39" i="12"/>
  <c r="L36" i="12"/>
  <c r="O36" i="12" s="1"/>
  <c r="L33" i="12"/>
  <c r="O33" i="12" s="1"/>
  <c r="L29" i="12"/>
  <c r="L27" i="12"/>
  <c r="L26" i="12"/>
  <c r="K17" i="12"/>
  <c r="J17" i="12"/>
  <c r="L17" i="12" s="1"/>
  <c r="G17" i="12"/>
  <c r="L14" i="12"/>
  <c r="L10" i="12"/>
  <c r="J83" i="13" l="1"/>
  <c r="K83" i="13"/>
  <c r="C12" i="15"/>
  <c r="O10" i="12"/>
  <c r="O85" i="12"/>
  <c r="O84" i="12"/>
  <c r="O92" i="12" s="1"/>
  <c r="G83" i="13"/>
  <c r="E14" i="15"/>
  <c r="G94" i="12"/>
  <c r="C13" i="15"/>
  <c r="L81" i="13"/>
  <c r="L16" i="13"/>
  <c r="O12" i="13" s="1"/>
  <c r="O16" i="13" s="1"/>
  <c r="L41" i="13"/>
  <c r="L83" i="13" s="1"/>
  <c r="L39" i="12"/>
  <c r="O14" i="12"/>
  <c r="O17" i="12" s="1"/>
  <c r="J94" i="12"/>
  <c r="L92" i="12"/>
  <c r="G14" i="15" l="1"/>
  <c r="O81" i="13"/>
  <c r="O39" i="12"/>
  <c r="O41" i="13"/>
  <c r="L94" i="12"/>
  <c r="G16" i="15" l="1"/>
  <c r="L85" i="13"/>
  <c r="L5" i="13" s="1"/>
  <c r="L96" i="12"/>
  <c r="L5" i="12" s="1"/>
  <c r="K106" i="10" l="1"/>
  <c r="J106" i="10"/>
  <c r="I106" i="10"/>
  <c r="H106" i="10"/>
  <c r="G106" i="10"/>
  <c r="L104" i="10"/>
  <c r="O104" i="10" s="1"/>
  <c r="L100" i="10"/>
  <c r="O100" i="10" s="1"/>
  <c r="L90" i="10"/>
  <c r="O50" i="10" s="1"/>
  <c r="L86" i="10"/>
  <c r="L85" i="10"/>
  <c r="L82" i="10"/>
  <c r="L80" i="10"/>
  <c r="L74" i="10"/>
  <c r="L72" i="10"/>
  <c r="L70" i="10"/>
  <c r="L68" i="10"/>
  <c r="L67" i="10"/>
  <c r="L36" i="10"/>
  <c r="O36" i="10" s="1"/>
  <c r="L35" i="10"/>
  <c r="O35" i="10" s="1"/>
  <c r="L34" i="10"/>
  <c r="O34" i="10" s="1"/>
  <c r="L28" i="10"/>
  <c r="K16" i="10"/>
  <c r="J16" i="10"/>
  <c r="I16" i="10"/>
  <c r="L16" i="10" s="1"/>
  <c r="G16" i="10"/>
  <c r="L14" i="10"/>
  <c r="L13" i="10"/>
  <c r="L12" i="10"/>
  <c r="L8" i="10"/>
  <c r="O8" i="10" s="1"/>
  <c r="L6" i="10"/>
  <c r="L44" i="10" l="1"/>
  <c r="O44" i="10"/>
  <c r="C10" i="15"/>
  <c r="L106" i="10"/>
  <c r="O12" i="10"/>
  <c r="O16" i="10" s="1"/>
  <c r="I108" i="10"/>
  <c r="K108" i="10"/>
  <c r="G108" i="10"/>
  <c r="J108" i="10"/>
  <c r="L108" i="10" l="1"/>
  <c r="L110" i="10" s="1"/>
  <c r="L5" i="10" l="1"/>
  <c r="L124" i="1" l="1"/>
  <c r="L117" i="1"/>
  <c r="S62" i="1" s="1"/>
  <c r="L116" i="1"/>
  <c r="S55" i="1" s="1"/>
  <c r="P55" i="1" s="1"/>
  <c r="L113" i="1"/>
  <c r="S52" i="1" s="1"/>
  <c r="P52" i="1" s="1"/>
  <c r="L108" i="1"/>
  <c r="S48" i="1" s="1"/>
  <c r="L100" i="1"/>
  <c r="S39" i="1" s="1"/>
  <c r="L90" i="1"/>
  <c r="L88" i="1"/>
  <c r="L87" i="1"/>
  <c r="L85" i="1"/>
  <c r="L84" i="1"/>
  <c r="S35" i="1" s="1"/>
  <c r="S49" i="1" l="1"/>
  <c r="P48" i="1" s="1"/>
  <c r="S66" i="1"/>
  <c r="S67" i="1" s="1"/>
  <c r="P66" i="1" l="1"/>
  <c r="S45" i="1"/>
  <c r="P39" i="1" s="1"/>
  <c r="S64" i="1"/>
  <c r="Y358" i="1"/>
  <c r="P59" i="1" l="1"/>
  <c r="V74" i="1"/>
  <c r="K27" i="1" l="1"/>
  <c r="L27" i="1" s="1"/>
  <c r="L80" i="1"/>
  <c r="S30" i="1" s="1"/>
  <c r="S31" i="1" l="1"/>
  <c r="P30" i="1" s="1"/>
  <c r="L6" i="1" l="1"/>
  <c r="C14" i="15" l="1"/>
  <c r="H14" i="15" s="1"/>
  <c r="C16" i="15" l="1"/>
  <c r="K126" i="1" l="1"/>
  <c r="J126" i="1"/>
  <c r="I126" i="1"/>
  <c r="I360" i="1" s="1"/>
  <c r="G126" i="1"/>
  <c r="S74" i="1" l="1"/>
  <c r="P72" i="1" s="1"/>
  <c r="L23" i="1"/>
  <c r="L25" i="1"/>
  <c r="P22" i="1" s="1"/>
  <c r="L24" i="1"/>
  <c r="L126" i="1" l="1"/>
  <c r="P162" i="1"/>
  <c r="L360" i="1" l="1"/>
  <c r="L5" i="1" s="1"/>
  <c r="L129" i="1"/>
  <c r="V358" i="1"/>
  <c r="U74" i="1" l="1"/>
  <c r="V36" i="1"/>
  <c r="V69" i="1" s="1"/>
  <c r="U169" i="1" l="1"/>
  <c r="U362" i="1" s="1"/>
  <c r="U36" i="1"/>
  <c r="U69" i="1" s="1"/>
  <c r="U76" i="1" l="1"/>
  <c r="J358" i="1"/>
  <c r="J360" i="1" l="1"/>
  <c r="L362" i="1"/>
  <c r="K358" i="1" l="1"/>
  <c r="H358" i="1"/>
  <c r="G358" i="1"/>
  <c r="G27" i="1"/>
  <c r="G360" i="1" l="1"/>
  <c r="K360" i="1"/>
  <c r="P27" i="1" l="1"/>
  <c r="S36" i="1"/>
  <c r="S69" i="1" s="1"/>
  <c r="S76" i="1" s="1"/>
  <c r="S126" i="1" s="1"/>
  <c r="P35" i="1" l="1"/>
  <c r="P69" i="1" s="1"/>
  <c r="S169" i="1"/>
  <c r="P169" i="1"/>
  <c r="P358" i="1" s="1"/>
  <c r="P76" i="1"/>
  <c r="P126" i="1" s="1"/>
  <c r="S358" i="1" l="1"/>
  <c r="P360" i="1"/>
  <c r="S360" i="1" l="1"/>
  <c r="S362" i="1" s="1"/>
  <c r="P362" i="1"/>
  <c r="V362" i="1" l="1"/>
  <c r="V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Jordan White</author>
  </authors>
  <commentList>
    <comment ref="E9" authorId="0" shapeId="0" xr:uid="{4D2EBC6E-C698-48ED-A87A-81C1D552812C}">
      <text>
        <r>
          <rPr>
            <b/>
            <sz val="9"/>
            <color indexed="81"/>
            <rFont val="Tahoma"/>
            <family val="2"/>
          </rPr>
          <t xml:space="preserve">Jordan White:
</t>
        </r>
        <r>
          <rPr>
            <sz val="9"/>
            <color indexed="81"/>
            <rFont val="Tahoma"/>
            <family val="2"/>
          </rPr>
          <t>Client treats this CD as a Fire Capital Project Fund, but books all activity in Fund 225.  This activity is pulled out of 225 and used in this separate fund.  In the current year, an additional $64,936.46 was added to the CD and we booked this as a transfer between the Fire Fund and Fire Capital Fund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<sst xmlns="http://schemas.openxmlformats.org/spreadsheetml/2006/main" count="1055" uniqueCount="385">
  <si>
    <t>W/P Ref</t>
  </si>
  <si>
    <t>Trial Balance - Government</t>
  </si>
  <si>
    <t>Group</t>
  </si>
  <si>
    <t>Fund</t>
  </si>
  <si>
    <t>Description</t>
  </si>
  <si>
    <t>AJE #</t>
  </si>
  <si>
    <t>G/T</t>
  </si>
  <si>
    <t>Totals</t>
  </si>
  <si>
    <t>z1</t>
  </si>
  <si>
    <t>Current Income (Loss)</t>
  </si>
  <si>
    <t>T</t>
  </si>
  <si>
    <t>Transfers</t>
  </si>
  <si>
    <t>Interest</t>
  </si>
  <si>
    <t>EXPENDITURES</t>
  </si>
  <si>
    <t>a</t>
  </si>
  <si>
    <t>b</t>
  </si>
  <si>
    <t>c</t>
  </si>
  <si>
    <t>d</t>
  </si>
  <si>
    <t>Sub Total</t>
  </si>
  <si>
    <t>Total</t>
  </si>
  <si>
    <t>Current (Income) Loss</t>
  </si>
  <si>
    <t>Out of Balance</t>
  </si>
  <si>
    <t>e</t>
  </si>
  <si>
    <t>Revenue</t>
  </si>
  <si>
    <t>wp</t>
  </si>
  <si>
    <t>Final</t>
  </si>
  <si>
    <t>Original</t>
  </si>
  <si>
    <t>Budget</t>
  </si>
  <si>
    <t>Fund Balances</t>
  </si>
  <si>
    <t>Restricted</t>
  </si>
  <si>
    <t xml:space="preserve">Committed </t>
  </si>
  <si>
    <t>Unassigned</t>
  </si>
  <si>
    <t>Current Ad Valorem Taxes</t>
  </si>
  <si>
    <t>Licenses &amp; Permits</t>
  </si>
  <si>
    <t>Intergovernmental Revenues</t>
  </si>
  <si>
    <t>State Grants and Aids</t>
  </si>
  <si>
    <t>Local Government Aid</t>
  </si>
  <si>
    <t>Charges for Services</t>
  </si>
  <si>
    <t>General Government</t>
  </si>
  <si>
    <t>Assessment Searches</t>
  </si>
  <si>
    <t>Public Safety</t>
  </si>
  <si>
    <t>Fines</t>
  </si>
  <si>
    <t>Interest Earnings</t>
  </si>
  <si>
    <t>Other</t>
  </si>
  <si>
    <t>Intergovernmental</t>
  </si>
  <si>
    <t>Fines &amp; Forfeits</t>
  </si>
  <si>
    <t>Miscellaneous</t>
  </si>
  <si>
    <t>Prop. Taxes</t>
  </si>
  <si>
    <t>LGA</t>
  </si>
  <si>
    <t>General Gov.</t>
  </si>
  <si>
    <t>Refunds Rec'd</t>
  </si>
  <si>
    <t>- Legislative</t>
  </si>
  <si>
    <t>Council</t>
  </si>
  <si>
    <t>Wages</t>
  </si>
  <si>
    <t>- Other General Government</t>
  </si>
  <si>
    <t>Legal</t>
  </si>
  <si>
    <t>Capital Outlay</t>
  </si>
  <si>
    <t>Street Lighting</t>
  </si>
  <si>
    <t>Parks</t>
  </si>
  <si>
    <t>Mayor &amp; Council</t>
  </si>
  <si>
    <t>Finance-Curr</t>
  </si>
  <si>
    <t>Acctg/Audit</t>
  </si>
  <si>
    <t>Police</t>
  </si>
  <si>
    <t>Streets &amp; Highways</t>
  </si>
  <si>
    <t>Streets-Current</t>
  </si>
  <si>
    <t>Culture &amp; Recreation</t>
  </si>
  <si>
    <t>Other Financing Sources</t>
  </si>
  <si>
    <t>Other Financing Uses</t>
  </si>
  <si>
    <t>Taxes</t>
  </si>
  <si>
    <t>REVENUE</t>
  </si>
  <si>
    <t>Restricted for Debt Service</t>
  </si>
  <si>
    <t>Proprietary Fund Revenues</t>
  </si>
  <si>
    <t>- Water Sales</t>
  </si>
  <si>
    <t>Proprietary Fund Expenses</t>
  </si>
  <si>
    <t>- Water Utilities</t>
  </si>
  <si>
    <t>Personal Services</t>
  </si>
  <si>
    <t>Utilities</t>
  </si>
  <si>
    <t>Insurance</t>
  </si>
  <si>
    <t>Professional Services</t>
  </si>
  <si>
    <t>- General Property Taxes</t>
  </si>
  <si>
    <t>Sale of Investments</t>
  </si>
  <si>
    <t>Miscellaneous Revenues</t>
  </si>
  <si>
    <t>Postage</t>
  </si>
  <si>
    <t>- Clerk</t>
  </si>
  <si>
    <t>Electric</t>
  </si>
  <si>
    <t>Operating Supplies</t>
  </si>
  <si>
    <t>Chemicals</t>
  </si>
  <si>
    <t>Refunds &amp; Reimbursements</t>
  </si>
  <si>
    <t>Streets</t>
  </si>
  <si>
    <t>Wages &amp; Salaries</t>
  </si>
  <si>
    <t>Fire</t>
  </si>
  <si>
    <t>Supplies</t>
  </si>
  <si>
    <t>Transfer to General</t>
  </si>
  <si>
    <t>Misc</t>
  </si>
  <si>
    <t>Rents</t>
  </si>
  <si>
    <t>Reimbursements/Refunds</t>
  </si>
  <si>
    <t>Telephone</t>
  </si>
  <si>
    <t>Dues/Fees/Subscriptions</t>
  </si>
  <si>
    <t>Federal Tax Withholding</t>
  </si>
  <si>
    <t>PERA - ER</t>
  </si>
  <si>
    <t>SS - ER</t>
  </si>
  <si>
    <t>Medi - ER</t>
  </si>
  <si>
    <t>Repairs &amp; Maint. Supplies</t>
  </si>
  <si>
    <t>Purchase of Investments</t>
  </si>
  <si>
    <t>Contracted Services</t>
  </si>
  <si>
    <t>Fire Contracts</t>
  </si>
  <si>
    <t>Contributions/Donations</t>
  </si>
  <si>
    <t>Proprietary Fund - Water</t>
  </si>
  <si>
    <t>Account #</t>
  </si>
  <si>
    <t>YTD Activity</t>
  </si>
  <si>
    <t>Adjustments</t>
  </si>
  <si>
    <t>Savings</t>
  </si>
  <si>
    <t>Interest Income</t>
  </si>
  <si>
    <t>Repairs &amp; Maint</t>
  </si>
  <si>
    <t>Licenses/Permits</t>
  </si>
  <si>
    <t>Non-operating Disbursements</t>
  </si>
  <si>
    <t>Water General Sales</t>
  </si>
  <si>
    <t>Delinq Payments - County</t>
  </si>
  <si>
    <t>Unapplied Collections</t>
  </si>
  <si>
    <t>Proprietary Fund - Sewer</t>
  </si>
  <si>
    <t>- Sewer Sales</t>
  </si>
  <si>
    <t>Sewer  General Sales</t>
  </si>
  <si>
    <t>Sewer Penalties</t>
  </si>
  <si>
    <t>- Sewer Utilities</t>
  </si>
  <si>
    <t>Assigned</t>
  </si>
  <si>
    <t>Cash Recap</t>
  </si>
  <si>
    <t>General</t>
  </si>
  <si>
    <t>Water Utility</t>
  </si>
  <si>
    <t xml:space="preserve">Sewer  </t>
  </si>
  <si>
    <t>Ag MV Cr</t>
  </si>
  <si>
    <t>Dumpster Coll.</t>
  </si>
  <si>
    <t>Gen Gov-cap</t>
  </si>
  <si>
    <t>Gen Gov-Curr</t>
  </si>
  <si>
    <t>R &amp; M</t>
  </si>
  <si>
    <t>Unrestricted</t>
  </si>
  <si>
    <t>Transfer In</t>
  </si>
  <si>
    <t>Transfer Out</t>
  </si>
  <si>
    <t>0100</t>
  </si>
  <si>
    <t>General Fund</t>
  </si>
  <si>
    <t>Repair &amp; Maint. Supplies</t>
  </si>
  <si>
    <t>Net Position</t>
  </si>
  <si>
    <t>Restricted for Sewer Replacement</t>
  </si>
  <si>
    <t>Election</t>
  </si>
  <si>
    <t>Chgs for Svcs</t>
  </si>
  <si>
    <t>Sale of Surplus Equipment</t>
  </si>
  <si>
    <t>Transfers In</t>
  </si>
  <si>
    <t>Travel Expense</t>
  </si>
  <si>
    <t>xxx</t>
  </si>
  <si>
    <t>Gas Utilities</t>
  </si>
  <si>
    <t>Engineering Fees</t>
  </si>
  <si>
    <t>Motor Fuels</t>
  </si>
  <si>
    <t>Investments Purchased</t>
  </si>
  <si>
    <t>Legal Fees</t>
  </si>
  <si>
    <t>x</t>
  </si>
  <si>
    <t>Cont. &amp; Don.</t>
  </si>
  <si>
    <t>f</t>
  </si>
  <si>
    <t>CD's</t>
  </si>
  <si>
    <t>Sale of Investment</t>
  </si>
  <si>
    <t>Capital Outlay - Other Equip.</t>
  </si>
  <si>
    <t>Fines and Forfeits</t>
  </si>
  <si>
    <t>Sale of Inv.</t>
  </si>
  <si>
    <t>Purchase of Inv.</t>
  </si>
  <si>
    <t>s</t>
  </si>
  <si>
    <t>p</t>
  </si>
  <si>
    <t>i</t>
  </si>
  <si>
    <t>WW Capital Projects</t>
  </si>
  <si>
    <t>YE CTAS Balance</t>
  </si>
  <si>
    <t>Variance</t>
  </si>
  <si>
    <t>Refuse Disposal</t>
  </si>
  <si>
    <t>Pooled Cash</t>
  </si>
  <si>
    <t>Checking &amp; Money Market</t>
  </si>
  <si>
    <t>From Trial Balance</t>
  </si>
  <si>
    <t>CDs</t>
  </si>
  <si>
    <t>DDA &amp; MM</t>
  </si>
  <si>
    <t>Federal Grants and Aids</t>
  </si>
  <si>
    <t>CARES</t>
  </si>
  <si>
    <t>Non-operating Receipts</t>
  </si>
  <si>
    <t>Wellhead Protection Grants</t>
  </si>
  <si>
    <t>Interfund Transfers</t>
  </si>
  <si>
    <t>Federal - other</t>
  </si>
  <si>
    <t>Streets-Capital</t>
  </si>
  <si>
    <t>Committed</t>
  </si>
  <si>
    <t>Debt - LT Principal</t>
  </si>
  <si>
    <t>Debt - Bond Principal</t>
  </si>
  <si>
    <t>Debt - Bond Interest</t>
  </si>
  <si>
    <t>Debt - LT Interest</t>
  </si>
  <si>
    <t>Discrp w/ CTAS</t>
  </si>
  <si>
    <t>Debt-Principal</t>
  </si>
  <si>
    <t>Debt-Interest</t>
  </si>
  <si>
    <t>Contributions</t>
  </si>
  <si>
    <t>Prin</t>
  </si>
  <si>
    <t>Int</t>
  </si>
  <si>
    <t>Transportation - Travel Expense</t>
  </si>
  <si>
    <t>Snow &amp; Ice</t>
  </si>
  <si>
    <t>City of Carlos</t>
  </si>
  <si>
    <t>PB: JJW</t>
  </si>
  <si>
    <t>Refuse Hauler Licenses</t>
  </si>
  <si>
    <t>ROW Permit Fees</t>
  </si>
  <si>
    <t>WAC and SAC Fees</t>
  </si>
  <si>
    <t>Building Permits</t>
  </si>
  <si>
    <t>Building Permits - State Surcharge</t>
  </si>
  <si>
    <t>Animal Licenses</t>
  </si>
  <si>
    <t>Homestead and Agricultural Credit</t>
  </si>
  <si>
    <t>Snow Removal &amp; Street Sweeping</t>
  </si>
  <si>
    <t>Transfer from General fund</t>
  </si>
  <si>
    <t>Special Public Safety Aid</t>
  </si>
  <si>
    <t>STATE AID for Carlos FRA</t>
  </si>
  <si>
    <t>Speical Fire Protection Services</t>
  </si>
  <si>
    <t>Ambulance Revenue</t>
  </si>
  <si>
    <t>CFD Receipts - Fire Calls</t>
  </si>
  <si>
    <t>Wages/Salaries</t>
  </si>
  <si>
    <t>Training</t>
  </si>
  <si>
    <t xml:space="preserve">Worker's Comp - Ins. </t>
  </si>
  <si>
    <t>Wages and Salaries: Part Time</t>
  </si>
  <si>
    <t>Employee Pera Contribution</t>
  </si>
  <si>
    <t>Employee Paid Medicare</t>
  </si>
  <si>
    <t>Employee Paid FICA</t>
  </si>
  <si>
    <t>Employer Contributions for Pera</t>
  </si>
  <si>
    <t>Employer Contributions: FICA</t>
  </si>
  <si>
    <t>Employer Contributions: Medicare</t>
  </si>
  <si>
    <t>Employee Paid: State Income Tas</t>
  </si>
  <si>
    <t>Auditing and Accounting</t>
  </si>
  <si>
    <t>Communications: Telephone</t>
  </si>
  <si>
    <t>Communications: Postage</t>
  </si>
  <si>
    <t>Lodging</t>
  </si>
  <si>
    <t>Printing and Binding: General Notices and Public Information</t>
  </si>
  <si>
    <t>Workmen's Comp</t>
  </si>
  <si>
    <t>Dues and Subscriptions</t>
  </si>
  <si>
    <t>- Assessor's Fees</t>
  </si>
  <si>
    <t>Assessor's Fees</t>
  </si>
  <si>
    <t>- Personnel Administration</t>
  </si>
  <si>
    <t>Professional Services: Legal Fees</t>
  </si>
  <si>
    <t>Utility Services: Refuse Disposal</t>
  </si>
  <si>
    <t>Unemployment Insurance</t>
  </si>
  <si>
    <t>Water</t>
  </si>
  <si>
    <t>Sewer</t>
  </si>
  <si>
    <t>General Government Buildings and Plant</t>
  </si>
  <si>
    <t>Brown Shed</t>
  </si>
  <si>
    <t>Public Safety Admin</t>
  </si>
  <si>
    <t>Contract with Douglas County Sheriff</t>
  </si>
  <si>
    <t>Building Inspections Admin</t>
  </si>
  <si>
    <t>Civil Defense Expenditures</t>
  </si>
  <si>
    <t>Granite Electronics, inc</t>
  </si>
  <si>
    <t>Paved Streets</t>
  </si>
  <si>
    <t>Union Dues</t>
  </si>
  <si>
    <t>Employee Paid Health Insurance</t>
  </si>
  <si>
    <t>Employer Paid FICA</t>
  </si>
  <si>
    <t>Employer Paid Medicare</t>
  </si>
  <si>
    <t>Employer Paid Health Insurance</t>
  </si>
  <si>
    <t>Operating Supplies: Motor Fuels</t>
  </si>
  <si>
    <t>Road Signs</t>
  </si>
  <si>
    <t>Repair and Maintenance</t>
  </si>
  <si>
    <t>Workmen's Compensation Insurance</t>
  </si>
  <si>
    <t>Utility: Water</t>
  </si>
  <si>
    <t>Utility: Sewer</t>
  </si>
  <si>
    <t>Stump Grinding and Tree Trimming</t>
  </si>
  <si>
    <t>FLAGS</t>
  </si>
  <si>
    <t>Alleys</t>
  </si>
  <si>
    <t>Gravel</t>
  </si>
  <si>
    <t>Sidewalks and Crosswalks</t>
  </si>
  <si>
    <t>Snow Removal</t>
  </si>
  <si>
    <t>Auditoriums</t>
  </si>
  <si>
    <t>Capital Outlay: Buildings &amp; Structures</t>
  </si>
  <si>
    <t>Capital Outlay: Other Equipment</t>
  </si>
  <si>
    <t>Stadiums</t>
  </si>
  <si>
    <t>Lawn Maintenance</t>
  </si>
  <si>
    <t>Issuance Costs</t>
  </si>
  <si>
    <t>Penalties</t>
  </si>
  <si>
    <t>Ambulance Services</t>
  </si>
  <si>
    <t>Carlos Fire Department</t>
  </si>
  <si>
    <t>Employer Paid Insurance</t>
  </si>
  <si>
    <t>Employee paid FICA</t>
  </si>
  <si>
    <t>Medical Exams</t>
  </si>
  <si>
    <t>Communications: Radio Units</t>
  </si>
  <si>
    <t>Advertising - Promotion</t>
  </si>
  <si>
    <t>Workmen's Compensation</t>
  </si>
  <si>
    <t>Water Tower Rent</t>
  </si>
  <si>
    <t>Special Assessment Utilties</t>
  </si>
  <si>
    <t>Rate Class 1</t>
  </si>
  <si>
    <t>ROW Permit Fee</t>
  </si>
  <si>
    <t>Special Assessments</t>
  </si>
  <si>
    <t>Rent</t>
  </si>
  <si>
    <t>Employer PERA Contribution</t>
  </si>
  <si>
    <t>Employee PERA Contribution</t>
  </si>
  <si>
    <t>Employee Paid State Tax</t>
  </si>
  <si>
    <t>MN Service Connection Fee</t>
  </si>
  <si>
    <t>Minnesota Sales &amp; Use Tax</t>
  </si>
  <si>
    <t>Capital Outlay: Improvements Other than Buildings</t>
  </si>
  <si>
    <t>Influent/Effluent Testing</t>
  </si>
  <si>
    <t>Wast Water Permit Fee</t>
  </si>
  <si>
    <t>Federal Programs</t>
  </si>
  <si>
    <t>MM Savings</t>
  </si>
  <si>
    <t>CD #7632</t>
  </si>
  <si>
    <t>CD #7634</t>
  </si>
  <si>
    <t>Checking</t>
  </si>
  <si>
    <t>CDs + MM</t>
  </si>
  <si>
    <t>2023</t>
  </si>
  <si>
    <t>CD</t>
  </si>
  <si>
    <t>Workmen's Compe</t>
  </si>
  <si>
    <t>Employee Paid State Income Tax</t>
  </si>
  <si>
    <t>PY</t>
  </si>
  <si>
    <t>33XXX</t>
  </si>
  <si>
    <t>State Aid - Other</t>
  </si>
  <si>
    <t>Transfer from 226</t>
  </si>
  <si>
    <t>Legal Notices</t>
  </si>
  <si>
    <t>- Elections</t>
  </si>
  <si>
    <t>Covid Expense - Meter Reading</t>
  </si>
  <si>
    <t>Debt Service: Principal</t>
  </si>
  <si>
    <t>Debt Service: Interest</t>
  </si>
  <si>
    <t>Business and Non Business</t>
  </si>
  <si>
    <t>Building Inspection</t>
  </si>
  <si>
    <t>Bank Fee for early CD Withdraw</t>
  </si>
  <si>
    <t>a - Ambulance</t>
  </si>
  <si>
    <t>b - Ambulance Capital</t>
  </si>
  <si>
    <t>c - Fire Admin</t>
  </si>
  <si>
    <t>d - Fire Capital</t>
  </si>
  <si>
    <t>e - Debt - Principal</t>
  </si>
  <si>
    <t>f - Debt - Interest</t>
  </si>
  <si>
    <t>TRANSFERS</t>
  </si>
  <si>
    <t>Transfer from Enterprise Fund</t>
  </si>
  <si>
    <t>Public Safety Aid</t>
  </si>
  <si>
    <t>Auditoriums - Capital Outlay</t>
  </si>
  <si>
    <t>Restricted Cash</t>
  </si>
  <si>
    <t>RB: SMS</t>
  </si>
  <si>
    <t>Fire Operating - Special Revenue</t>
  </si>
  <si>
    <t>2024</t>
  </si>
  <si>
    <t>12/31/23 CTAS Bal.</t>
  </si>
  <si>
    <t>1/1/24 Bal.</t>
  </si>
  <si>
    <t>Conditional Use Permit Fee</t>
  </si>
  <si>
    <t>Miscellaneous Revenue</t>
  </si>
  <si>
    <t>DNR Grant</t>
  </si>
  <si>
    <t>New Meter Fees</t>
  </si>
  <si>
    <t>WAC Fees</t>
  </si>
  <si>
    <t>Misc Rev</t>
  </si>
  <si>
    <t>SAC Fees</t>
  </si>
  <si>
    <t>Plan Review and Inspections</t>
  </si>
  <si>
    <t>Utility: Refuse</t>
  </si>
  <si>
    <t>Internet Service</t>
  </si>
  <si>
    <t>Capital Outlay: Turnout Gear</t>
  </si>
  <si>
    <t>Capital Outlay: Motor Vehicles</t>
  </si>
  <si>
    <t>Part Time Employees</t>
  </si>
  <si>
    <t>Internet</t>
  </si>
  <si>
    <t>Refund and Reimbursements</t>
  </si>
  <si>
    <t>Part time employees</t>
  </si>
  <si>
    <t>Uncollectible Checks</t>
  </si>
  <si>
    <t>1</t>
  </si>
  <si>
    <t>CD #XXX</t>
  </si>
  <si>
    <t>CD #7127</t>
  </si>
  <si>
    <t>0390</t>
  </si>
  <si>
    <t>Fire Protection</t>
  </si>
  <si>
    <t>3</t>
  </si>
  <si>
    <t>Internet Services</t>
  </si>
  <si>
    <t>4</t>
  </si>
  <si>
    <t>Other State payments</t>
  </si>
  <si>
    <t>334XX</t>
  </si>
  <si>
    <t>Local - Other</t>
  </si>
  <si>
    <t>5</t>
  </si>
  <si>
    <t>Municipal State Aid</t>
  </si>
  <si>
    <t>Other State Aid</t>
  </si>
  <si>
    <t>6</t>
  </si>
  <si>
    <t>XXX</t>
  </si>
  <si>
    <t>Fire Capital Projects</t>
  </si>
  <si>
    <t>7</t>
  </si>
  <si>
    <t>4, 7</t>
  </si>
  <si>
    <t>1, 9</t>
  </si>
  <si>
    <t>9</t>
  </si>
  <si>
    <t>10</t>
  </si>
  <si>
    <t>CD #25193</t>
  </si>
  <si>
    <t>8</t>
  </si>
  <si>
    <t>11</t>
  </si>
  <si>
    <t>7, 12</t>
  </si>
  <si>
    <t>12</t>
  </si>
  <si>
    <t>Alcoholic Beverages</t>
  </si>
  <si>
    <t>Cigarette Licenses</t>
  </si>
  <si>
    <t>Building Permit Plan Review Fee</t>
  </si>
  <si>
    <t>Municipal State Aid for Streets</t>
  </si>
  <si>
    <t>Printing and Binding: Legal Notices</t>
  </si>
  <si>
    <t>State Surcharge Fees buildings Permit</t>
  </si>
  <si>
    <t>Capital Outlay: Improvements other than Buildings</t>
  </si>
  <si>
    <t>Participant Recreation</t>
  </si>
  <si>
    <t xml:space="preserve"> Supplies</t>
  </si>
  <si>
    <t>7, 2</t>
  </si>
  <si>
    <t>2</t>
  </si>
  <si>
    <t>6, 2</t>
  </si>
  <si>
    <t>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</si>
</sst>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(#,##0.00\)"/>
    <numFmt numFmtId="165" formatCode="m/d/yy;@"/>
  </numFmts>
  <fonts count="13" x14ac:knownFonts="1">
    <font>
      <sz val="10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0" borderId="0"/>
  </cellStyleXfs>
  <cellXfs count="95">
    <xf numFmtId="0" fontId="0" fillId="0" borderId="0" xfId="0">
      <alignment vertical="center"/>
    </xf>
    <xf numFmtId="1" fontId="1" fillId="0" borderId="0" xfId="0" applyNumberFormat="1" applyFont="1" applyAlignment="1">
      <alignment horizontal="left"/>
    </xf>
    <xf numFmtId="43" fontId="7" fillId="0" borderId="0" xfId="2" applyNumberFormat="1" applyFont="1" applyAlignment="1">
      <alignment horizontal="center"/>
    </xf>
    <xf numFmtId="43" fontId="0" fillId="0" borderId="0" xfId="0" applyNumberFormat="1">
      <alignment vertical="center"/>
    </xf>
    <xf numFmtId="49" fontId="0" fillId="0" borderId="0" xfId="0" applyNumberFormat="1">
      <alignment vertical="center"/>
    </xf>
    <xf numFmtId="43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43" fontId="4" fillId="0" borderId="0" xfId="1" applyFill="1">
      <alignment vertical="center"/>
    </xf>
    <xf numFmtId="165" fontId="3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left" vertic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7" fillId="0" borderId="0" xfId="1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3" fontId="0" fillId="0" borderId="2" xfId="0" applyNumberFormat="1" applyBorder="1" applyAlignment="1">
      <alignment wrapText="1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/>
    <xf numFmtId="43" fontId="3" fillId="0" borderId="0" xfId="0" applyNumberFormat="1" applyFont="1" applyAlignment="1">
      <alignment horizontal="center"/>
    </xf>
    <xf numFmtId="43" fontId="3" fillId="0" borderId="0" xfId="0" applyNumberFormat="1" applyFont="1" applyAlignment="1"/>
    <xf numFmtId="0" fontId="0" fillId="0" borderId="0" xfId="0" applyAlignment="1">
      <alignment horizontal="right" vertical="center"/>
    </xf>
    <xf numFmtId="43" fontId="0" fillId="0" borderId="1" xfId="0" applyNumberFormat="1" applyBorder="1" applyAlignment="1">
      <alignment wrapText="1"/>
    </xf>
    <xf numFmtId="43" fontId="3" fillId="0" borderId="3" xfId="0" applyNumberFormat="1" applyFont="1" applyBorder="1" applyAlignment="1"/>
    <xf numFmtId="43" fontId="0" fillId="0" borderId="3" xfId="0" applyNumberFormat="1" applyBorder="1">
      <alignment vertical="center"/>
    </xf>
    <xf numFmtId="43" fontId="0" fillId="0" borderId="4" xfId="0" applyNumberFormat="1" applyBorder="1">
      <alignment vertical="center"/>
    </xf>
    <xf numFmtId="43" fontId="4" fillId="0" borderId="4" xfId="1" applyFill="1" applyBorder="1">
      <alignment vertical="center"/>
    </xf>
    <xf numFmtId="43" fontId="2" fillId="0" borderId="0" xfId="0" applyNumberFormat="1" applyFont="1" applyAlignment="1">
      <alignment horizontal="right"/>
    </xf>
    <xf numFmtId="43" fontId="0" fillId="0" borderId="0" xfId="0" applyNumberFormat="1" applyAlignment="1">
      <alignment wrapText="1"/>
    </xf>
    <xf numFmtId="43" fontId="3" fillId="0" borderId="2" xfId="0" applyNumberFormat="1" applyFont="1" applyBorder="1" applyAlignment="1"/>
    <xf numFmtId="43" fontId="3" fillId="0" borderId="3" xfId="1" applyFont="1" applyFill="1" applyBorder="1" applyAlignment="1"/>
    <xf numFmtId="43" fontId="0" fillId="0" borderId="1" xfId="0" applyNumberFormat="1" applyBorder="1">
      <alignment vertical="center"/>
    </xf>
    <xf numFmtId="0" fontId="7" fillId="0" borderId="0" xfId="0" applyFont="1">
      <alignment vertical="center"/>
    </xf>
    <xf numFmtId="1" fontId="2" fillId="0" borderId="0" xfId="0" applyNumberFormat="1" applyFont="1" applyAlignment="1">
      <alignment horizontal="left"/>
    </xf>
    <xf numFmtId="43" fontId="8" fillId="0" borderId="0" xfId="0" applyNumberFormat="1" applyFont="1">
      <alignment vertical="center"/>
    </xf>
    <xf numFmtId="43" fontId="7" fillId="0" borderId="1" xfId="1" applyFont="1" applyFill="1" applyBorder="1" applyAlignment="1">
      <alignment horizontal="center" vertical="center"/>
    </xf>
    <xf numFmtId="0" fontId="3" fillId="0" borderId="0" xfId="0" applyFont="1" applyAlignment="1"/>
    <xf numFmtId="1" fontId="2" fillId="0" borderId="0" xfId="0" quotePrefix="1" applyNumberFormat="1" applyFont="1" applyAlignment="1">
      <alignment horizontal="left"/>
    </xf>
    <xf numFmtId="0" fontId="3" fillId="0" borderId="0" xfId="0" quotePrefix="1" applyFont="1" applyAlignment="1"/>
    <xf numFmtId="0" fontId="2" fillId="0" borderId="0" xfId="0" quotePrefix="1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Fill="1">
      <alignment vertical="center"/>
    </xf>
    <xf numFmtId="43" fontId="0" fillId="0" borderId="3" xfId="1" applyFont="1" applyFill="1" applyBorder="1">
      <alignment vertical="center"/>
    </xf>
    <xf numFmtId="43" fontId="0" fillId="0" borderId="4" xfId="1" applyFont="1" applyFill="1" applyBorder="1">
      <alignment vertical="center"/>
    </xf>
    <xf numFmtId="43" fontId="4" fillId="0" borderId="0" xfId="1" applyFill="1" applyBorder="1">
      <alignment vertical="center"/>
    </xf>
    <xf numFmtId="43" fontId="0" fillId="0" borderId="0" xfId="1" applyFont="1" applyFill="1" applyBorder="1">
      <alignment vertical="center"/>
    </xf>
    <xf numFmtId="1" fontId="3" fillId="0" borderId="0" xfId="0" applyNumberFormat="1" applyFont="1" applyAlignment="1">
      <alignment horizontal="left"/>
    </xf>
    <xf numFmtId="0" fontId="0" fillId="0" borderId="0" xfId="0" quotePrefix="1">
      <alignment vertical="center"/>
    </xf>
    <xf numFmtId="0" fontId="7" fillId="0" borderId="0" xfId="0" applyFont="1" applyAlignment="1">
      <alignment horizontal="left" vertical="center"/>
    </xf>
    <xf numFmtId="41" fontId="0" fillId="0" borderId="0" xfId="0" applyNumberForma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4" fontId="0" fillId="0" borderId="0" xfId="0" applyNumberFormat="1">
      <alignment vertical="center"/>
    </xf>
    <xf numFmtId="43" fontId="0" fillId="0" borderId="0" xfId="1" applyFont="1">
      <alignment vertical="center"/>
    </xf>
    <xf numFmtId="0" fontId="7" fillId="0" borderId="1" xfId="0" applyFont="1" applyBorder="1" applyAlignment="1">
      <alignment horizontal="center" vertical="center"/>
    </xf>
    <xf numFmtId="43" fontId="0" fillId="0" borderId="3" xfId="1" applyFont="1" applyBorder="1">
      <alignment vertical="center"/>
    </xf>
    <xf numFmtId="49" fontId="1" fillId="0" borderId="0" xfId="0" applyNumberFormat="1" applyFont="1" applyAlignment="1">
      <alignment horizontal="left"/>
    </xf>
    <xf numFmtId="43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right"/>
    </xf>
    <xf numFmtId="43" fontId="3" fillId="0" borderId="0" xfId="0" applyNumberFormat="1" applyFont="1" applyAlignment="1">
      <alignment horizontal="right"/>
    </xf>
    <xf numFmtId="14" fontId="7" fillId="0" borderId="1" xfId="0" quotePrefix="1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43" fontId="0" fillId="0" borderId="5" xfId="0" applyNumberFormat="1" applyBorder="1">
      <alignment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center"/>
    </xf>
    <xf numFmtId="43" fontId="0" fillId="0" borderId="1" xfId="1" applyFont="1" applyFill="1" applyBorder="1">
      <alignment vertical="center"/>
    </xf>
    <xf numFmtId="43" fontId="7" fillId="0" borderId="0" xfId="0" applyNumberFormat="1" applyFont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43" fontId="4" fillId="0" borderId="3" xfId="1" applyFill="1" applyBorder="1">
      <alignment vertical="center"/>
    </xf>
    <xf numFmtId="0" fontId="10" fillId="0" borderId="0" xfId="0" applyFont="1">
      <alignment vertical="center"/>
    </xf>
    <xf numFmtId="43" fontId="10" fillId="0" borderId="0" xfId="1" applyFont="1" applyFill="1" applyAlignment="1">
      <alignment horizontal="center" vertical="center"/>
    </xf>
    <xf numFmtId="43" fontId="0" fillId="2" borderId="3" xfId="1" applyFont="1" applyFill="1" applyBorder="1">
      <alignment vertical="center"/>
    </xf>
    <xf numFmtId="0" fontId="4" fillId="0" borderId="0" xfId="0" applyFont="1" applyAlignment="1"/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3" fontId="3" fillId="0" borderId="3" xfId="1" applyFont="1" applyBorder="1" applyAlignment="1"/>
    <xf numFmtId="44" fontId="3" fillId="0" borderId="3" xfId="1" applyNumberFormat="1" applyFont="1" applyBorder="1" applyAlignment="1"/>
    <xf numFmtId="44" fontId="3" fillId="0" borderId="3" xfId="0" applyNumberFormat="1" applyFont="1" applyBorder="1" applyAlignment="1"/>
    <xf numFmtId="14" fontId="0" fillId="0" borderId="0" xfId="0" applyNumberFormat="1" applyAlignment="1"/>
    <xf numFmtId="43" fontId="4" fillId="0" borderId="0" xfId="1" applyFill="1" applyAlignment="1"/>
    <xf numFmtId="165" fontId="3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Mick Trial Balance and Workpapers SCSC 6-11" xfId="2" xr:uid="{00000000-0005-0000-0000-000002000000}"/>
  </cellStyles>
  <dxfs count="0"/>
  <tableStyles count="0" defaultTableStyle="TableStyleMedium2" defaultPivotStyle="PivotStyleLight16"/>
  <colors>
    <mruColors>
      <color rgb="FFFF99CC"/>
      <color rgb="FFFFCCFF"/>
      <color rgb="FF009900"/>
      <color rgb="FF66FFFF"/>
      <color rgb="FFFF3399"/>
      <color rgb="FF00CC00"/>
      <color rgb="FF13B946"/>
      <color rgb="FFFF3300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FF"/>
    <pageSetUpPr fitToPage="1"/>
  </sheetPr>
  <dimension ref="A1:Y362"/>
  <sheetViews>
    <sheetView tabSelected="1" zoomScaleNormal="100" workbookViewId="0">
      <pane xSplit="6" ySplit="6" topLeftCell="G37" activePane="bottomRight" state="frozen"/>
      <selection activeCell="S147" activeCellId="1" sqref="S158 S147"/>
      <selection pane="topRight" activeCell="S147" activeCellId="1" sqref="S158 S147"/>
      <selection pane="bottomLeft" activeCell="S147" activeCellId="1" sqref="S158 S147"/>
      <selection pane="bottomRight" activeCell="S147" activeCellId="1" sqref="S158 S147"/>
    </sheetView>
  </sheetViews>
  <sheetFormatPr defaultColWidth="9.28515625" defaultRowHeight="12.75" customHeight="1" x14ac:dyDescent="0.2"/>
  <cols>
    <col min="1" max="1" width="4.42578125" customWidth="1"/>
    <col min="2" max="2" width="6.28515625" customWidth="1"/>
    <col min="3" max="3" width="4" bestFit="1" customWidth="1"/>
    <col min="4" max="4" width="3.42578125" customWidth="1"/>
    <col min="5" max="5" width="15.42578125" customWidth="1"/>
    <col min="6" max="6" width="14.140625" customWidth="1"/>
    <col min="7" max="7" width="13" style="3" customWidth="1"/>
    <col min="8" max="8" width="6.5703125" style="4" customWidth="1"/>
    <col min="9" max="9" width="13.28515625" style="3" bestFit="1" customWidth="1"/>
    <col min="10" max="10" width="12.42578125" style="3" bestFit="1" customWidth="1"/>
    <col min="11" max="11" width="11" style="3" customWidth="1"/>
    <col min="12" max="12" width="14.5703125" style="3" bestFit="1" customWidth="1"/>
    <col min="13" max="13" width="5" style="6" bestFit="1" customWidth="1"/>
    <col min="14" max="14" width="4.140625" style="6" bestFit="1" customWidth="1"/>
    <col min="15" max="15" width="5.42578125" style="6" bestFit="1" customWidth="1"/>
    <col min="16" max="16" width="13.140625" style="3" customWidth="1"/>
    <col min="17" max="17" width="3.28515625" style="6" customWidth="1"/>
    <col min="18" max="18" width="16.5703125" style="71" customWidth="1"/>
    <col min="19" max="19" width="11.85546875" bestFit="1" customWidth="1"/>
    <col min="20" max="20" width="1.5703125" customWidth="1"/>
    <col min="21" max="21" width="12.140625" style="7" bestFit="1" customWidth="1"/>
    <col min="22" max="22" width="11.85546875" style="3" bestFit="1" customWidth="1"/>
    <col min="25" max="25" width="11.28515625" bestFit="1" customWidth="1"/>
  </cols>
  <sheetData>
    <row r="1" spans="1:22" x14ac:dyDescent="0.2">
      <c r="A1" s="1" t="s">
        <v>195</v>
      </c>
      <c r="G1" s="2" t="s">
        <v>194</v>
      </c>
      <c r="K1" s="5" t="s">
        <v>0</v>
      </c>
      <c r="L1" s="64" t="s">
        <v>137</v>
      </c>
    </row>
    <row r="2" spans="1:22" x14ac:dyDescent="0.2">
      <c r="A2" s="88"/>
      <c r="B2" s="88"/>
      <c r="G2" s="9" t="s">
        <v>1</v>
      </c>
    </row>
    <row r="3" spans="1:22" x14ac:dyDescent="0.2">
      <c r="A3" s="88" t="s">
        <v>323</v>
      </c>
      <c r="B3" s="88"/>
      <c r="G3" s="9" t="s">
        <v>138</v>
      </c>
    </row>
    <row r="4" spans="1:22" x14ac:dyDescent="0.2">
      <c r="A4" s="89">
        <v>45776</v>
      </c>
      <c r="B4" s="89"/>
      <c r="D4" s="10"/>
      <c r="G4" s="11">
        <v>45657</v>
      </c>
    </row>
    <row r="5" spans="1:22" ht="15" x14ac:dyDescent="0.2">
      <c r="K5" s="65" t="s">
        <v>21</v>
      </c>
      <c r="L5" s="40">
        <f>+L27+L360</f>
        <v>-1.4551915228366852E-10</v>
      </c>
      <c r="N5" s="12"/>
      <c r="O5" s="12"/>
      <c r="P5" s="74" t="s">
        <v>2</v>
      </c>
      <c r="Q5" s="58"/>
      <c r="R5" s="55"/>
      <c r="S5" s="58" t="s">
        <v>3</v>
      </c>
      <c r="T5" s="58"/>
      <c r="U5" s="74" t="s">
        <v>26</v>
      </c>
      <c r="V5" s="74" t="s">
        <v>25</v>
      </c>
    </row>
    <row r="6" spans="1:22" x14ac:dyDescent="0.2">
      <c r="A6" s="90" t="s">
        <v>108</v>
      </c>
      <c r="B6" s="90"/>
      <c r="C6" s="90"/>
      <c r="D6" s="14"/>
      <c r="E6" s="15" t="s">
        <v>4</v>
      </c>
      <c r="F6" s="16"/>
      <c r="G6" s="17">
        <f>EDATE(G4,-12)</f>
        <v>45291</v>
      </c>
      <c r="H6" s="18" t="s">
        <v>5</v>
      </c>
      <c r="I6" s="74" t="s">
        <v>109</v>
      </c>
      <c r="J6" s="91" t="s">
        <v>110</v>
      </c>
      <c r="K6" s="91"/>
      <c r="L6" s="17">
        <f>+G4</f>
        <v>45657</v>
      </c>
      <c r="M6" s="18" t="s">
        <v>24</v>
      </c>
      <c r="N6" s="16" t="s">
        <v>6</v>
      </c>
      <c r="O6" s="16"/>
      <c r="P6" s="19" t="s">
        <v>7</v>
      </c>
      <c r="Q6" s="16"/>
      <c r="R6" s="16" t="s">
        <v>4</v>
      </c>
      <c r="S6" s="20" t="s">
        <v>7</v>
      </c>
      <c r="T6" s="21"/>
      <c r="U6" s="41" t="s">
        <v>27</v>
      </c>
      <c r="V6" s="75" t="s">
        <v>27</v>
      </c>
    </row>
    <row r="7" spans="1:22" x14ac:dyDescent="0.2">
      <c r="D7" s="23"/>
      <c r="E7" s="24"/>
      <c r="G7" s="25"/>
      <c r="L7" s="25"/>
    </row>
    <row r="8" spans="1:22" x14ac:dyDescent="0.2">
      <c r="D8" s="24"/>
      <c r="G8" s="26"/>
      <c r="L8" s="25"/>
    </row>
    <row r="9" spans="1:22" x14ac:dyDescent="0.2">
      <c r="A9" s="54">
        <v>100</v>
      </c>
      <c r="D9" s="39" t="s">
        <v>169</v>
      </c>
      <c r="E9" s="42"/>
      <c r="G9" s="26">
        <v>-94567.179999999949</v>
      </c>
      <c r="H9" s="4" t="s">
        <v>371</v>
      </c>
      <c r="I9" s="3">
        <f>843648.94-662629.38</f>
        <v>181019.55999999994</v>
      </c>
      <c r="J9" s="3">
        <v>-20</v>
      </c>
      <c r="L9" s="25">
        <f>SUM(G9:K9)</f>
        <v>86432.37999999999</v>
      </c>
      <c r="M9" s="82" t="s">
        <v>384</v>
      </c>
      <c r="N9" s="6" t="s">
        <v>14</v>
      </c>
      <c r="P9" s="3">
        <f>SUM(L9:L20)</f>
        <v>776638.86999999988</v>
      </c>
    </row>
    <row r="10" spans="1:22" x14ac:dyDescent="0.2">
      <c r="A10" s="54"/>
      <c r="D10" s="39"/>
      <c r="E10" s="42"/>
      <c r="G10" s="26"/>
      <c r="L10" s="25"/>
    </row>
    <row r="11" spans="1:22" x14ac:dyDescent="0.2">
      <c r="A11" s="54">
        <v>203</v>
      </c>
      <c r="D11" s="39" t="s">
        <v>169</v>
      </c>
      <c r="E11" s="42"/>
      <c r="G11" s="26">
        <v>67805.81</v>
      </c>
      <c r="I11" s="3">
        <v>-69563.81</v>
      </c>
      <c r="L11" s="25">
        <f>SUM(G11:K11)</f>
        <v>-1758</v>
      </c>
      <c r="M11" s="82" t="s">
        <v>384</v>
      </c>
    </row>
    <row r="12" spans="1:22" x14ac:dyDescent="0.2">
      <c r="A12" s="54"/>
      <c r="D12" s="39"/>
      <c r="E12" s="42"/>
      <c r="G12" s="26"/>
      <c r="L12" s="25"/>
    </row>
    <row r="13" spans="1:22" x14ac:dyDescent="0.2">
      <c r="A13" s="54"/>
      <c r="D13" s="24" t="s">
        <v>291</v>
      </c>
      <c r="E13" s="42"/>
      <c r="G13" s="26"/>
      <c r="L13" s="25"/>
    </row>
    <row r="14" spans="1:22" x14ac:dyDescent="0.2">
      <c r="A14">
        <v>100</v>
      </c>
      <c r="D14" s="27"/>
      <c r="G14" s="3">
        <v>471564.17</v>
      </c>
      <c r="H14" s="4" t="s">
        <v>345</v>
      </c>
      <c r="J14" s="3">
        <v>15359.22</v>
      </c>
      <c r="L14" s="25">
        <f>SUM(G14:K14)</f>
        <v>486923.38999999996</v>
      </c>
      <c r="M14" s="82" t="s">
        <v>384</v>
      </c>
    </row>
    <row r="15" spans="1:22" x14ac:dyDescent="0.2">
      <c r="D15" s="24" t="s">
        <v>156</v>
      </c>
      <c r="G15" s="26"/>
      <c r="L15" s="25"/>
      <c r="U15"/>
      <c r="V15"/>
    </row>
    <row r="16" spans="1:22" x14ac:dyDescent="0.2">
      <c r="A16">
        <v>100</v>
      </c>
      <c r="D16" s="80" t="s">
        <v>292</v>
      </c>
      <c r="G16" s="26">
        <v>101369.57</v>
      </c>
      <c r="H16" s="4" t="s">
        <v>345</v>
      </c>
      <c r="J16" s="3">
        <f>2616.13-103985.7</f>
        <v>-101369.56999999999</v>
      </c>
      <c r="L16" s="25">
        <f>SUM(G16:K16)</f>
        <v>0</v>
      </c>
      <c r="N16" s="6" t="s">
        <v>14</v>
      </c>
      <c r="U16"/>
      <c r="V16"/>
    </row>
    <row r="17" spans="1:22" x14ac:dyDescent="0.2">
      <c r="A17">
        <v>100</v>
      </c>
      <c r="D17" t="s">
        <v>293</v>
      </c>
      <c r="G17" s="26">
        <v>103403.42</v>
      </c>
      <c r="H17" s="4" t="s">
        <v>345</v>
      </c>
      <c r="J17" s="3">
        <f>5464.43-108867.85</f>
        <v>-103403.42000000001</v>
      </c>
      <c r="L17" s="25">
        <f>SUM(G17:K17)</f>
        <v>0</v>
      </c>
      <c r="U17"/>
      <c r="V17"/>
    </row>
    <row r="18" spans="1:22" x14ac:dyDescent="0.2">
      <c r="A18">
        <v>100</v>
      </c>
      <c r="D18" t="s">
        <v>346</v>
      </c>
      <c r="G18" s="26"/>
      <c r="H18" s="4" t="s">
        <v>345</v>
      </c>
      <c r="J18" s="3">
        <v>205041.1</v>
      </c>
      <c r="L18" s="25">
        <f>SUM(G18:K18)</f>
        <v>205041.1</v>
      </c>
      <c r="M18" s="82" t="s">
        <v>384</v>
      </c>
      <c r="U18"/>
      <c r="V18"/>
    </row>
    <row r="19" spans="1:22" x14ac:dyDescent="0.2">
      <c r="D19" s="24"/>
      <c r="G19" s="26"/>
      <c r="L19" s="25"/>
      <c r="U19"/>
      <c r="V19"/>
    </row>
    <row r="20" spans="1:22" x14ac:dyDescent="0.2">
      <c r="D20" s="24"/>
      <c r="G20" s="26"/>
      <c r="L20" s="25"/>
      <c r="U20"/>
      <c r="V20"/>
    </row>
    <row r="21" spans="1:22" x14ac:dyDescent="0.2">
      <c r="D21" s="24" t="s">
        <v>28</v>
      </c>
      <c r="L21" s="25"/>
      <c r="U21"/>
      <c r="V21"/>
    </row>
    <row r="22" spans="1:22" x14ac:dyDescent="0.2">
      <c r="D22" s="24"/>
      <c r="E22" t="s">
        <v>29</v>
      </c>
      <c r="G22" s="3">
        <v>-68956</v>
      </c>
      <c r="H22" s="4" t="s">
        <v>369</v>
      </c>
      <c r="J22" s="3">
        <v>67806</v>
      </c>
      <c r="L22" s="25">
        <f>SUM(G22:K22)</f>
        <v>-1150</v>
      </c>
      <c r="N22" s="6" t="s">
        <v>8</v>
      </c>
      <c r="P22" s="3">
        <f>+L22+L23+L24+L25+-L27</f>
        <v>-776638.87</v>
      </c>
      <c r="U22"/>
      <c r="V22"/>
    </row>
    <row r="23" spans="1:22" x14ac:dyDescent="0.2">
      <c r="D23" s="27"/>
      <c r="E23" s="42" t="s">
        <v>30</v>
      </c>
      <c r="G23" s="3">
        <v>0</v>
      </c>
      <c r="L23" s="25">
        <f>SUM(G23:K23)</f>
        <v>0</v>
      </c>
      <c r="N23" s="6" t="s">
        <v>8</v>
      </c>
      <c r="U23"/>
      <c r="V23"/>
    </row>
    <row r="24" spans="1:22" x14ac:dyDescent="0.2">
      <c r="D24" s="23"/>
      <c r="E24" t="s">
        <v>124</v>
      </c>
      <c r="G24" s="26">
        <v>0</v>
      </c>
      <c r="L24" s="25">
        <f>SUM(G24:K24)</f>
        <v>0</v>
      </c>
      <c r="N24" s="6" t="s">
        <v>8</v>
      </c>
      <c r="U24"/>
      <c r="V24"/>
    </row>
    <row r="25" spans="1:22" x14ac:dyDescent="0.2">
      <c r="D25" s="23"/>
      <c r="E25" s="42" t="s">
        <v>31</v>
      </c>
      <c r="G25" s="26">
        <f>-649575.79-G22</f>
        <v>-580619.79</v>
      </c>
      <c r="H25" s="4" t="s">
        <v>369</v>
      </c>
      <c r="J25" s="3">
        <v>-67806</v>
      </c>
      <c r="L25" s="25">
        <f>SUM(G25:K25)</f>
        <v>-648425.79</v>
      </c>
      <c r="N25" s="6" t="s">
        <v>8</v>
      </c>
      <c r="U25"/>
      <c r="V25"/>
    </row>
    <row r="26" spans="1:22" x14ac:dyDescent="0.2">
      <c r="G26" s="28"/>
      <c r="I26" s="28"/>
      <c r="J26" s="28"/>
      <c r="K26" s="28"/>
      <c r="L26" s="28"/>
      <c r="U26"/>
      <c r="V26"/>
    </row>
    <row r="27" spans="1:22" x14ac:dyDescent="0.2">
      <c r="E27" s="24" t="s">
        <v>9</v>
      </c>
      <c r="G27" s="29">
        <f>SUM(G7:G26)</f>
        <v>0</v>
      </c>
      <c r="I27" s="29">
        <f>SUM(I7:I26)</f>
        <v>111455.74999999994</v>
      </c>
      <c r="J27" s="29">
        <f>SUM(J7:J26)</f>
        <v>15607.329999999987</v>
      </c>
      <c r="K27" s="29">
        <f>SUM(K7:K26)</f>
        <v>0</v>
      </c>
      <c r="L27" s="84">
        <f>SUM(I27:K27)</f>
        <v>127063.07999999993</v>
      </c>
      <c r="N27" s="6" t="s">
        <v>8</v>
      </c>
      <c r="P27" s="30">
        <f>SUM(P9:P26)</f>
        <v>0</v>
      </c>
    </row>
    <row r="28" spans="1:22" x14ac:dyDescent="0.2">
      <c r="G28" s="22"/>
      <c r="I28" s="22"/>
      <c r="J28" s="22"/>
      <c r="K28" s="22"/>
      <c r="L28" s="22"/>
    </row>
    <row r="29" spans="1:22" x14ac:dyDescent="0.2">
      <c r="D29" s="1" t="s">
        <v>23</v>
      </c>
      <c r="E29" s="24"/>
      <c r="G29" s="26"/>
      <c r="L29" s="25"/>
      <c r="N29" s="6">
        <v>1</v>
      </c>
      <c r="P29" s="3" t="s">
        <v>68</v>
      </c>
      <c r="S29" s="48"/>
    </row>
    <row r="30" spans="1:22" x14ac:dyDescent="0.2">
      <c r="D30" s="1"/>
      <c r="E30" s="24"/>
      <c r="G30" s="26"/>
      <c r="L30" s="25"/>
      <c r="P30" s="30">
        <f>S31</f>
        <v>-194046.28</v>
      </c>
      <c r="Q30" s="6" t="s">
        <v>14</v>
      </c>
      <c r="R30" s="71" t="s">
        <v>47</v>
      </c>
      <c r="S30" s="48">
        <f>SUMIFS($L$78:$L$125,$N$78:$N$125,"1",$O$78:$O$125,"a")</f>
        <v>-194046.28</v>
      </c>
      <c r="U30" s="48">
        <f>SUMIFS($U$78:$U$125,$N$78:$N$125,"1",$O$78:$O$125,"a")</f>
        <v>-188600</v>
      </c>
      <c r="V30" s="48">
        <f>SUMIFS($V$78:$V$125,$N$78:$N$125,"1",$O$78:$O$125,"a")</f>
        <v>-192372</v>
      </c>
    </row>
    <row r="31" spans="1:22" x14ac:dyDescent="0.2">
      <c r="D31" s="1"/>
      <c r="E31" s="24"/>
      <c r="G31" s="26"/>
      <c r="L31" s="25"/>
      <c r="S31" s="49">
        <f>SUM(S30:S30)</f>
        <v>-194046.28</v>
      </c>
      <c r="U31" s="76">
        <f>SUM(U30:U30)</f>
        <v>-188600</v>
      </c>
      <c r="V31" s="76">
        <f>SUM(V30:V30)</f>
        <v>-192372</v>
      </c>
    </row>
    <row r="32" spans="1:22" x14ac:dyDescent="0.2">
      <c r="D32" s="1"/>
      <c r="E32" s="24"/>
      <c r="G32" s="26"/>
      <c r="L32" s="25"/>
      <c r="S32" s="48"/>
      <c r="V32" s="7"/>
    </row>
    <row r="33" spans="4:22" x14ac:dyDescent="0.2">
      <c r="D33" s="1"/>
      <c r="E33" s="24"/>
      <c r="G33" s="26"/>
      <c r="L33" s="25"/>
      <c r="S33" s="48"/>
      <c r="V33" s="7"/>
    </row>
    <row r="34" spans="4:22" x14ac:dyDescent="0.2">
      <c r="D34" s="1"/>
      <c r="E34" s="24"/>
      <c r="G34" s="26"/>
      <c r="L34" s="25"/>
      <c r="N34" s="6">
        <v>2</v>
      </c>
      <c r="P34" s="3" t="s">
        <v>33</v>
      </c>
      <c r="S34" s="48"/>
      <c r="V34" s="7"/>
    </row>
    <row r="35" spans="4:22" x14ac:dyDescent="0.2">
      <c r="D35" s="1"/>
      <c r="E35" s="24"/>
      <c r="G35" s="26"/>
      <c r="L35" s="25"/>
      <c r="P35" s="30">
        <f>S36</f>
        <v>-9664.36</v>
      </c>
      <c r="Q35" s="6" t="s">
        <v>14</v>
      </c>
      <c r="R35" s="71" t="s">
        <v>309</v>
      </c>
      <c r="S35" s="48">
        <f>SUMIFS($L$78:$L$125,$N$78:$N$125,"2",$O$78:$O$125,"a")</f>
        <v>-9664.36</v>
      </c>
      <c r="U35" s="48">
        <f>SUMIFS($U$78:$U$125,$N$78:$N$125,"2",$O$78:$O$125,"a")</f>
        <v>-12445</v>
      </c>
      <c r="V35" s="48">
        <f>SUMIFS($V$78:$V$125,$N$78:$N$125,"2",$O$78:$O$125,"a")</f>
        <v>-12645</v>
      </c>
    </row>
    <row r="36" spans="4:22" x14ac:dyDescent="0.2">
      <c r="D36" s="1"/>
      <c r="E36" s="24"/>
      <c r="G36" s="26"/>
      <c r="L36" s="25"/>
      <c r="S36" s="49">
        <f>SUM(S35:S35)</f>
        <v>-9664.36</v>
      </c>
      <c r="U36" s="76">
        <f>SUM(U35:U35)</f>
        <v>-12445</v>
      </c>
      <c r="V36" s="76">
        <f>SUM(V35:V35)</f>
        <v>-12645</v>
      </c>
    </row>
    <row r="37" spans="4:22" x14ac:dyDescent="0.2">
      <c r="D37" s="1"/>
      <c r="E37" s="24"/>
      <c r="G37" s="26"/>
      <c r="L37" s="25"/>
      <c r="S37" s="48"/>
      <c r="V37" s="7"/>
    </row>
    <row r="38" spans="4:22" x14ac:dyDescent="0.2">
      <c r="D38" s="1"/>
      <c r="E38" s="24"/>
      <c r="G38" s="26"/>
      <c r="L38" s="25"/>
      <c r="N38" s="6">
        <v>3</v>
      </c>
      <c r="P38" s="3" t="s">
        <v>44</v>
      </c>
      <c r="S38" s="48"/>
      <c r="V38" s="7"/>
    </row>
    <row r="39" spans="4:22" x14ac:dyDescent="0.2">
      <c r="D39" s="1"/>
      <c r="E39" s="24"/>
      <c r="G39" s="26"/>
      <c r="L39" s="25"/>
      <c r="P39" s="30">
        <f>S45</f>
        <v>-139791.53</v>
      </c>
      <c r="Q39" s="6" t="s">
        <v>14</v>
      </c>
      <c r="R39" s="71" t="s">
        <v>48</v>
      </c>
      <c r="S39" s="48">
        <f>SUMIFS($L$78:$L$125,$N$78:$N$125,"3",$O$78:$O$125,$Q39)</f>
        <v>-124770</v>
      </c>
      <c r="U39" s="48">
        <f t="shared" ref="U39:U44" si="0">SUMIFS($U$78:$U$125,$N$78:$N$125,"3",$O$78:$O$125,$Q39)</f>
        <v>-105159</v>
      </c>
      <c r="V39" s="48">
        <f t="shared" ref="V39:V44" si="1">SUMIFS($V$78:$V$125,$N$78:$N$125,"3",$O$78:$O$125,Q39)</f>
        <v>-124770</v>
      </c>
    </row>
    <row r="40" spans="4:22" x14ac:dyDescent="0.2">
      <c r="D40" s="1"/>
      <c r="E40" s="24"/>
      <c r="G40" s="26"/>
      <c r="L40" s="25"/>
      <c r="Q40" s="6" t="s">
        <v>15</v>
      </c>
      <c r="R40" s="71" t="s">
        <v>357</v>
      </c>
      <c r="S40" s="48">
        <f>SUMIFS($L$78:$L$125,$N$78:$N$125,"3",$O$78:$O$125,Q40)</f>
        <v>-12581</v>
      </c>
      <c r="U40" s="48">
        <f t="shared" si="0"/>
        <v>0</v>
      </c>
      <c r="V40" s="48">
        <f t="shared" si="1"/>
        <v>0</v>
      </c>
    </row>
    <row r="41" spans="4:22" x14ac:dyDescent="0.2">
      <c r="D41" s="1"/>
      <c r="E41" s="24"/>
      <c r="G41" s="26"/>
      <c r="L41" s="25"/>
      <c r="Q41" s="6" t="s">
        <v>16</v>
      </c>
      <c r="R41" s="71" t="s">
        <v>129</v>
      </c>
      <c r="S41" s="48">
        <f>SUMIFS($L$78:$L$125,$N$78:$N$125,"3",$O$78:$O$125,Q41)</f>
        <v>-7.5</v>
      </c>
      <c r="U41" s="48">
        <f t="shared" si="0"/>
        <v>0</v>
      </c>
      <c r="V41" s="48">
        <f t="shared" si="1"/>
        <v>0</v>
      </c>
    </row>
    <row r="42" spans="4:22" x14ac:dyDescent="0.2">
      <c r="D42" s="1"/>
      <c r="E42" s="24"/>
      <c r="G42" s="26"/>
      <c r="L42" s="25"/>
      <c r="Q42" s="6" t="s">
        <v>17</v>
      </c>
      <c r="R42" s="71" t="s">
        <v>358</v>
      </c>
      <c r="S42" s="48">
        <f>SUMIFS($L$78:$L$125,$N$78:$N$125,"3",$O$78:$O$125,Q42)</f>
        <v>-2433.0300000000002</v>
      </c>
      <c r="U42" s="48">
        <f t="shared" si="0"/>
        <v>0</v>
      </c>
      <c r="V42" s="48">
        <f t="shared" si="1"/>
        <v>0</v>
      </c>
    </row>
    <row r="43" spans="4:22" x14ac:dyDescent="0.2">
      <c r="D43" s="1"/>
      <c r="E43" s="24"/>
      <c r="G43" s="26"/>
      <c r="L43" s="25"/>
      <c r="Q43" s="6" t="s">
        <v>22</v>
      </c>
      <c r="R43" s="71" t="s">
        <v>320</v>
      </c>
      <c r="S43" s="48">
        <f>SUMIFS($L$78:$L$125,$N$78:$N$125,"3",$O$78:$O$125,Q43)</f>
        <v>0</v>
      </c>
      <c r="U43" s="48">
        <f t="shared" si="0"/>
        <v>-21793</v>
      </c>
      <c r="V43" s="48">
        <f t="shared" si="1"/>
        <v>-21793</v>
      </c>
    </row>
    <row r="44" spans="4:22" x14ac:dyDescent="0.2">
      <c r="D44" s="1"/>
      <c r="E44" s="24"/>
      <c r="G44" s="26"/>
      <c r="L44" s="25"/>
      <c r="Q44" s="6" t="s">
        <v>155</v>
      </c>
      <c r="R44" s="71" t="s">
        <v>179</v>
      </c>
      <c r="S44" s="48">
        <f>SUMIFS($L$78:$L$125,$N$78:$N$125,"3",$O$78:$O$125,Q44)</f>
        <v>0</v>
      </c>
      <c r="U44" s="48">
        <f t="shared" si="0"/>
        <v>-46012.81</v>
      </c>
      <c r="V44" s="48">
        <f t="shared" si="1"/>
        <v>-46012.81</v>
      </c>
    </row>
    <row r="45" spans="4:22" x14ac:dyDescent="0.2">
      <c r="D45" s="1"/>
      <c r="E45" s="24"/>
      <c r="G45" s="26"/>
      <c r="L45" s="25"/>
      <c r="S45" s="49">
        <f>SUM(S39:S44)</f>
        <v>-139791.53</v>
      </c>
      <c r="U45" s="49">
        <f>SUM(U39:U44)</f>
        <v>-172964.81</v>
      </c>
      <c r="V45" s="49">
        <f>SUM(V39:V44)</f>
        <v>-192575.81</v>
      </c>
    </row>
    <row r="46" spans="4:22" x14ac:dyDescent="0.2">
      <c r="D46" s="1"/>
      <c r="E46" s="24"/>
      <c r="G46" s="26"/>
      <c r="L46" s="25"/>
      <c r="S46" s="48"/>
      <c r="V46" s="7"/>
    </row>
    <row r="47" spans="4:22" x14ac:dyDescent="0.2">
      <c r="D47" s="1"/>
      <c r="E47" s="24"/>
      <c r="G47" s="26"/>
      <c r="L47" s="25"/>
      <c r="N47" s="6">
        <v>4</v>
      </c>
      <c r="P47" s="3" t="s">
        <v>37</v>
      </c>
      <c r="S47" s="48"/>
      <c r="V47" s="7"/>
    </row>
    <row r="48" spans="4:22" x14ac:dyDescent="0.2">
      <c r="D48" s="1"/>
      <c r="E48" s="24"/>
      <c r="G48" s="26"/>
      <c r="L48" s="25"/>
      <c r="P48" s="30">
        <f>S49</f>
        <v>-3055</v>
      </c>
      <c r="Q48" s="6" t="s">
        <v>14</v>
      </c>
      <c r="R48" s="71" t="s">
        <v>49</v>
      </c>
      <c r="S48" s="48">
        <f>SUMIFS($L$78:$L$125,$N$78:$N$125,"4",$O$78:$O$125,"a")</f>
        <v>-3055</v>
      </c>
      <c r="U48" s="48">
        <f>SUMIFS($U$78:$U$125,$N$78:$N$125,"4",$O$78:$O$125,"a")</f>
        <v>-8300</v>
      </c>
      <c r="V48" s="48">
        <f>SUMIFS($V$78:$V$125,$N$78:$N$125,"4",$O$78:$O$125,"a")</f>
        <v>-8300</v>
      </c>
    </row>
    <row r="49" spans="4:22" x14ac:dyDescent="0.2">
      <c r="D49" s="1"/>
      <c r="E49" s="24"/>
      <c r="G49" s="26"/>
      <c r="L49" s="25"/>
      <c r="S49" s="49">
        <f>SUM(S48:S48)</f>
        <v>-3055</v>
      </c>
      <c r="U49" s="49">
        <f>SUM(U48:U48)</f>
        <v>-8300</v>
      </c>
      <c r="V49" s="49">
        <f>SUM(V48:V48)</f>
        <v>-8300</v>
      </c>
    </row>
    <row r="50" spans="4:22" x14ac:dyDescent="0.2">
      <c r="D50" s="1"/>
      <c r="E50" s="24"/>
      <c r="G50" s="26"/>
      <c r="L50" s="25"/>
      <c r="S50" s="48"/>
      <c r="V50" s="7"/>
    </row>
    <row r="51" spans="4:22" x14ac:dyDescent="0.2">
      <c r="D51" s="1"/>
      <c r="E51" s="24"/>
      <c r="G51" s="26"/>
      <c r="L51" s="25"/>
      <c r="N51" s="6">
        <v>5</v>
      </c>
      <c r="P51" s="3" t="s">
        <v>45</v>
      </c>
      <c r="S51" s="48"/>
      <c r="V51" s="7"/>
    </row>
    <row r="52" spans="4:22" x14ac:dyDescent="0.2">
      <c r="D52" s="1"/>
      <c r="E52" s="24"/>
      <c r="G52" s="26"/>
      <c r="L52" s="25"/>
      <c r="P52" s="30">
        <f>S52</f>
        <v>-269.58999999999997</v>
      </c>
      <c r="Q52" s="6" t="s">
        <v>14</v>
      </c>
      <c r="R52" s="71" t="s">
        <v>41</v>
      </c>
      <c r="S52" s="49">
        <f>SUMIFS($L$78:$L$125,$N$78:$N$125,"5",$O$78:$O$125,"a")</f>
        <v>-269.58999999999997</v>
      </c>
      <c r="U52" s="49">
        <f>SUMIFS($U$78:$U$125,$N$78:$N$125,"5",$O$78:$O$125,"a")</f>
        <v>-500</v>
      </c>
      <c r="V52" s="49">
        <f>SUMIFS($V$78:$V$125,$N$78:$N$125,"5",$O$78:$O$125,"a")</f>
        <v>-500</v>
      </c>
    </row>
    <row r="53" spans="4:22" x14ac:dyDescent="0.2">
      <c r="D53" s="1"/>
      <c r="E53" s="24"/>
      <c r="G53" s="26"/>
      <c r="L53" s="25"/>
      <c r="S53" s="48"/>
      <c r="V53" s="7"/>
    </row>
    <row r="54" spans="4:22" x14ac:dyDescent="0.2">
      <c r="D54" s="1"/>
      <c r="E54" s="24"/>
      <c r="G54" s="26"/>
      <c r="L54" s="25"/>
      <c r="N54" s="6">
        <v>6</v>
      </c>
      <c r="P54" s="3" t="s">
        <v>42</v>
      </c>
      <c r="S54" s="48"/>
      <c r="V54" s="7"/>
    </row>
    <row r="55" spans="4:22" x14ac:dyDescent="0.2">
      <c r="D55" s="1"/>
      <c r="E55" s="24"/>
      <c r="G55" s="26"/>
      <c r="L55" s="25"/>
      <c r="P55" s="30">
        <f>S55</f>
        <v>-45848.160000000003</v>
      </c>
      <c r="Q55" s="6" t="s">
        <v>14</v>
      </c>
      <c r="R55" s="71" t="s">
        <v>12</v>
      </c>
      <c r="S55" s="49">
        <f>SUMIFS($L$78:$L$125,$N$78:$N$125,"6",$O$78:$O$125,"a")</f>
        <v>-45848.160000000003</v>
      </c>
      <c r="U55" s="49">
        <f>SUMIFS($U$78:$U$125,$N$78:$N$125,"6",$O$78:$O$125,"a")</f>
        <v>-1000</v>
      </c>
      <c r="V55" s="49">
        <f>SUMIFS($V$78:$V$125,$N$78:$N$125,"6",$O$78:$O$125,"a")</f>
        <v>-1000</v>
      </c>
    </row>
    <row r="56" spans="4:22" x14ac:dyDescent="0.2">
      <c r="D56" s="1"/>
      <c r="E56" s="24"/>
      <c r="G56" s="26"/>
      <c r="L56" s="25"/>
      <c r="S56" s="52"/>
      <c r="U56" s="51"/>
      <c r="V56" s="51"/>
    </row>
    <row r="57" spans="4:22" x14ac:dyDescent="0.2">
      <c r="D57" s="1"/>
      <c r="E57" s="24"/>
      <c r="G57" s="26"/>
      <c r="L57" s="25"/>
      <c r="S57" s="52"/>
      <c r="U57" s="51"/>
      <c r="V57" s="51"/>
    </row>
    <row r="58" spans="4:22" x14ac:dyDescent="0.2">
      <c r="D58" s="1"/>
      <c r="E58" s="24"/>
      <c r="G58" s="26"/>
      <c r="L58" s="25"/>
      <c r="N58" s="6">
        <v>7</v>
      </c>
      <c r="P58" s="3" t="s">
        <v>46</v>
      </c>
      <c r="S58" s="52"/>
      <c r="U58" s="51"/>
      <c r="V58" s="51"/>
    </row>
    <row r="59" spans="4:22" x14ac:dyDescent="0.2">
      <c r="D59" s="1"/>
      <c r="E59" s="24"/>
      <c r="G59" s="26"/>
      <c r="L59" s="25"/>
      <c r="P59" s="30">
        <f>S64</f>
        <v>-33079.370000000003</v>
      </c>
      <c r="Q59" s="6" t="s">
        <v>14</v>
      </c>
      <c r="R59" s="71" t="s">
        <v>94</v>
      </c>
      <c r="S59" s="52">
        <f>SUMIFS($L$78:$L$125,$N$78:$N$125,"7",$O$78:$O$125,Q59)</f>
        <v>0</v>
      </c>
      <c r="U59" s="52">
        <f>SUMIFS($U$78:$U$125,$N$78:$N$125,"7",$O$78:$O$125,Q59)</f>
        <v>0</v>
      </c>
      <c r="V59" s="52">
        <f>SUMIFS($V$78:$V$125,$N$78:$N$125,"7",$O$78:$O$125,Q59)</f>
        <v>0</v>
      </c>
    </row>
    <row r="60" spans="4:22" x14ac:dyDescent="0.2">
      <c r="D60" s="1"/>
      <c r="E60" s="24"/>
      <c r="G60" s="26"/>
      <c r="L60" s="25"/>
      <c r="Q60" s="6" t="s">
        <v>15</v>
      </c>
      <c r="R60" s="71" t="s">
        <v>50</v>
      </c>
      <c r="S60" s="52">
        <f>SUMIFS($L$78:$L$125,$N$78:$N$125,"7",$O$78:$O$125,Q60)</f>
        <v>-3616.3699999999994</v>
      </c>
      <c r="U60" s="52">
        <f>SUMIFS($U$78:$U$125,$N$78:$N$125,"7",$O$78:$O$125,Q60)</f>
        <v>0</v>
      </c>
      <c r="V60" s="52">
        <f>SUMIFS($V$78:$V$125,$N$78:$N$125,"7",$O$78:$O$125,Q60)</f>
        <v>0</v>
      </c>
    </row>
    <row r="61" spans="4:22" x14ac:dyDescent="0.2">
      <c r="D61" s="1"/>
      <c r="E61" s="24"/>
      <c r="G61" s="26"/>
      <c r="L61" s="25"/>
      <c r="Q61" s="6" t="s">
        <v>16</v>
      </c>
      <c r="R61" s="71" t="s">
        <v>130</v>
      </c>
      <c r="S61" s="52">
        <f>SUMIFS($L$78:$L$125,$N$78:$N$125,"7",$O$78:$O$125,Q61)</f>
        <v>0</v>
      </c>
      <c r="U61" s="52">
        <f>SUMIFS($U$78:$U$125,$N$78:$N$125,"7",$O$78:$O$125,Q61)</f>
        <v>0</v>
      </c>
      <c r="V61" s="52">
        <f>SUMIFS($V$78:$V$125,$N$78:$N$125,"7",$O$78:$O$125,Q61)</f>
        <v>0</v>
      </c>
    </row>
    <row r="62" spans="4:22" x14ac:dyDescent="0.2">
      <c r="D62" s="1"/>
      <c r="E62" s="24"/>
      <c r="G62" s="26"/>
      <c r="L62" s="25"/>
      <c r="Q62" s="6" t="s">
        <v>17</v>
      </c>
      <c r="R62" s="71" t="s">
        <v>93</v>
      </c>
      <c r="S62" s="52">
        <f>SUMIFS($L$78:$L$125,$N$78:$N$125,"7",$O$78:$O$125,Q62)</f>
        <v>-10</v>
      </c>
      <c r="U62" s="52">
        <f>SUMIFS($U$78:$U$125,$N$78:$N$125,"7",$O$78:$O$125,Q62)</f>
        <v>0</v>
      </c>
      <c r="V62" s="52">
        <f>SUMIFS($V$78:$V$125,$N$78:$N$125,"7",$O$78:$O$125,Q62)</f>
        <v>0</v>
      </c>
    </row>
    <row r="63" spans="4:22" x14ac:dyDescent="0.2">
      <c r="D63" s="1"/>
      <c r="E63" s="24"/>
      <c r="G63" s="26"/>
      <c r="L63" s="25"/>
      <c r="Q63" s="6" t="s">
        <v>22</v>
      </c>
      <c r="R63" s="71" t="s">
        <v>154</v>
      </c>
      <c r="S63" s="52">
        <f>SUMIFS($L$78:$L$125,$N$78:$N$125,"7",$O$78:$O$125,Q63)</f>
        <v>-29453</v>
      </c>
      <c r="U63" s="52">
        <f>SUMIFS($U$78:$U$125,$N$78:$N$125,"7",$O$78:$O$125,Q63)</f>
        <v>0</v>
      </c>
      <c r="V63" s="52">
        <f>SUMIFS($V$78:$V$125,$N$78:$N$125,"7",$O$78:$O$125,Q63)</f>
        <v>0</v>
      </c>
    </row>
    <row r="64" spans="4:22" x14ac:dyDescent="0.2">
      <c r="D64" s="1"/>
      <c r="E64" s="24"/>
      <c r="G64" s="26"/>
      <c r="L64" s="25"/>
      <c r="S64" s="49">
        <f>SUM(S59:S63)</f>
        <v>-33079.370000000003</v>
      </c>
      <c r="U64" s="76">
        <f>SUM(U59:U63)</f>
        <v>0</v>
      </c>
      <c r="V64" s="76">
        <f>SUM(V59:V63)</f>
        <v>0</v>
      </c>
    </row>
    <row r="65" spans="1:22" x14ac:dyDescent="0.2">
      <c r="D65" s="1"/>
      <c r="E65" s="24"/>
      <c r="G65" s="26"/>
      <c r="L65" s="25"/>
      <c r="N65" s="6">
        <v>8</v>
      </c>
      <c r="P65" s="3" t="s">
        <v>66</v>
      </c>
      <c r="S65" s="52"/>
      <c r="U65" s="51"/>
      <c r="V65" s="51"/>
    </row>
    <row r="66" spans="1:22" x14ac:dyDescent="0.2">
      <c r="D66" s="1"/>
      <c r="E66" s="24"/>
      <c r="G66" s="26"/>
      <c r="L66" s="25"/>
      <c r="P66" s="37">
        <f>S67</f>
        <v>0</v>
      </c>
      <c r="Q66" s="6" t="s">
        <v>14</v>
      </c>
      <c r="R66" s="71" t="s">
        <v>160</v>
      </c>
      <c r="S66" s="52">
        <f>SUM(L124)</f>
        <v>0</v>
      </c>
      <c r="U66" s="52">
        <f>+U124</f>
        <v>0</v>
      </c>
      <c r="V66" s="52">
        <f>+V124</f>
        <v>0</v>
      </c>
    </row>
    <row r="67" spans="1:22" x14ac:dyDescent="0.2">
      <c r="D67" s="1"/>
      <c r="E67" s="24"/>
      <c r="G67" s="26"/>
      <c r="L67" s="25"/>
      <c r="S67" s="49">
        <f>SUM(S66:S66)</f>
        <v>0</v>
      </c>
      <c r="U67" s="49">
        <f>SUM(U66:U66)</f>
        <v>0</v>
      </c>
      <c r="V67" s="49">
        <f>SUM(V66:V66)</f>
        <v>0</v>
      </c>
    </row>
    <row r="68" spans="1:22" x14ac:dyDescent="0.2">
      <c r="D68" s="1"/>
      <c r="E68" s="24"/>
      <c r="G68" s="26"/>
      <c r="L68" s="25"/>
      <c r="S68" s="48"/>
      <c r="V68" s="7"/>
    </row>
    <row r="69" spans="1:22" x14ac:dyDescent="0.2">
      <c r="D69" s="1"/>
      <c r="E69" s="24"/>
      <c r="G69" s="26"/>
      <c r="L69" s="9" t="s">
        <v>18</v>
      </c>
      <c r="P69" s="30">
        <f>P30+P35+P39+P48+P52+P55+P59+P66</f>
        <v>-425754.29000000004</v>
      </c>
      <c r="S69" s="49">
        <f>+S67+S64+S55+S52+S49+S45+S36+S31</f>
        <v>-425754.29000000004</v>
      </c>
      <c r="U69" s="49">
        <f>+U67+U64+U55+U52+U49+U45+U36+U31</f>
        <v>-383809.81</v>
      </c>
      <c r="V69" s="49">
        <f>+V67+V64+V55+V52+V49+V45+V36+V31</f>
        <v>-407392.81</v>
      </c>
    </row>
    <row r="70" spans="1:22" x14ac:dyDescent="0.2">
      <c r="D70" s="1"/>
      <c r="E70" s="24"/>
      <c r="G70" s="26"/>
      <c r="L70" s="25"/>
      <c r="S70" s="48"/>
      <c r="V70" s="7"/>
    </row>
    <row r="71" spans="1:22" x14ac:dyDescent="0.2">
      <c r="D71" s="1"/>
      <c r="E71" s="24"/>
      <c r="G71" s="26"/>
      <c r="L71" s="25"/>
      <c r="N71" s="6" t="s">
        <v>10</v>
      </c>
      <c r="P71" s="3" t="s">
        <v>11</v>
      </c>
      <c r="S71" s="52"/>
      <c r="U71" s="51"/>
      <c r="V71" s="51"/>
    </row>
    <row r="72" spans="1:22" x14ac:dyDescent="0.2">
      <c r="D72" s="1"/>
      <c r="E72" s="24"/>
      <c r="G72" s="26"/>
      <c r="L72" s="25"/>
      <c r="P72" s="30">
        <f>S74</f>
        <v>0</v>
      </c>
      <c r="S72" s="73">
        <f>L123</f>
        <v>0</v>
      </c>
      <c r="U72" s="73">
        <v>0</v>
      </c>
      <c r="V72" s="73">
        <v>0</v>
      </c>
    </row>
    <row r="73" spans="1:22" x14ac:dyDescent="0.2">
      <c r="D73" s="1"/>
      <c r="E73" s="24"/>
      <c r="G73" s="26"/>
      <c r="L73" s="25"/>
      <c r="S73" s="52"/>
      <c r="U73" s="52"/>
      <c r="V73" s="52"/>
    </row>
    <row r="74" spans="1:22" x14ac:dyDescent="0.2">
      <c r="D74" s="1"/>
      <c r="E74" s="24"/>
      <c r="G74" s="26"/>
      <c r="L74" s="25"/>
      <c r="S74" s="49">
        <f>SUM(S72:S73)</f>
        <v>0</v>
      </c>
      <c r="U74" s="30">
        <f>SUM(U72:U73)</f>
        <v>0</v>
      </c>
      <c r="V74" s="30">
        <f>SUM(V72:V73)</f>
        <v>0</v>
      </c>
    </row>
    <row r="75" spans="1:22" x14ac:dyDescent="0.2">
      <c r="D75" s="1"/>
      <c r="E75" s="24"/>
      <c r="G75" s="26"/>
      <c r="L75" s="25"/>
      <c r="S75" s="48"/>
      <c r="V75" s="7"/>
    </row>
    <row r="76" spans="1:22" ht="13.5" thickBot="1" x14ac:dyDescent="0.25">
      <c r="D76" s="1"/>
      <c r="E76" s="24"/>
      <c r="G76" s="26"/>
      <c r="L76" s="25"/>
      <c r="P76" s="30">
        <f>P69+P72</f>
        <v>-425754.29000000004</v>
      </c>
      <c r="S76" s="50">
        <f>S69+S74</f>
        <v>-425754.29000000004</v>
      </c>
      <c r="U76" s="31">
        <f>+U74+U69</f>
        <v>-383809.81</v>
      </c>
      <c r="V76" s="31">
        <f>V69+V74</f>
        <v>-407392.81</v>
      </c>
    </row>
    <row r="77" spans="1:22" ht="13.5" thickTop="1" x14ac:dyDescent="0.2">
      <c r="D77" s="1"/>
      <c r="E77" s="24"/>
      <c r="G77" s="26"/>
      <c r="L77" s="25"/>
      <c r="V77" s="56"/>
    </row>
    <row r="78" spans="1:22" x14ac:dyDescent="0.2">
      <c r="D78" s="24" t="s">
        <v>68</v>
      </c>
      <c r="G78" s="26"/>
      <c r="L78" s="25"/>
      <c r="V78" s="56"/>
    </row>
    <row r="79" spans="1:22" x14ac:dyDescent="0.2">
      <c r="D79" s="23"/>
      <c r="E79" s="42" t="s">
        <v>32</v>
      </c>
      <c r="G79" s="26"/>
      <c r="L79" s="25"/>
      <c r="V79" s="56"/>
    </row>
    <row r="80" spans="1:22" x14ac:dyDescent="0.2">
      <c r="A80">
        <v>100</v>
      </c>
      <c r="B80">
        <v>31010</v>
      </c>
      <c r="D80" s="23"/>
      <c r="E80" s="44" t="s">
        <v>79</v>
      </c>
      <c r="G80" s="26">
        <v>-191335.08</v>
      </c>
      <c r="I80" s="3">
        <v>-194046.28</v>
      </c>
      <c r="L80" s="25">
        <f>SUM(I80:K80)</f>
        <v>-194046.28</v>
      </c>
      <c r="M80" s="81">
        <v>4001</v>
      </c>
      <c r="N80" s="6">
        <v>1</v>
      </c>
      <c r="O80" s="6" t="s">
        <v>14</v>
      </c>
      <c r="U80" s="7">
        <v>-188600</v>
      </c>
      <c r="V80" s="7">
        <v>-192372</v>
      </c>
    </row>
    <row r="81" spans="1:22" x14ac:dyDescent="0.2">
      <c r="D81" s="23"/>
      <c r="E81" s="24"/>
      <c r="G81" s="26"/>
      <c r="L81" s="25"/>
      <c r="P81"/>
      <c r="U81" s="48"/>
      <c r="V81" s="48"/>
    </row>
    <row r="82" spans="1:22" x14ac:dyDescent="0.2">
      <c r="D82" s="24" t="s">
        <v>33</v>
      </c>
      <c r="G82" s="26"/>
      <c r="L82" s="25"/>
      <c r="P82"/>
      <c r="U82" s="48"/>
      <c r="V82" s="48"/>
    </row>
    <row r="83" spans="1:22" x14ac:dyDescent="0.2">
      <c r="D83" s="23"/>
      <c r="E83" s="42"/>
      <c r="G83" s="26"/>
      <c r="L83" s="25"/>
      <c r="P83"/>
      <c r="U83" s="48"/>
      <c r="V83" s="48"/>
    </row>
    <row r="84" spans="1:22" x14ac:dyDescent="0.2">
      <c r="A84">
        <v>100</v>
      </c>
      <c r="B84">
        <v>32101</v>
      </c>
      <c r="D84" s="23"/>
      <c r="E84" s="44" t="s">
        <v>196</v>
      </c>
      <c r="G84" s="26">
        <v>-200</v>
      </c>
      <c r="I84" s="3">
        <v>-400</v>
      </c>
      <c r="L84" s="25">
        <f t="shared" ref="L84:L93" si="2">SUM(I84:J84)</f>
        <v>-400</v>
      </c>
      <c r="M84" s="81">
        <v>4003</v>
      </c>
      <c r="N84" s="6">
        <v>2</v>
      </c>
      <c r="O84" s="6" t="s">
        <v>14</v>
      </c>
      <c r="P84"/>
      <c r="U84" s="48">
        <v>0</v>
      </c>
      <c r="V84" s="48">
        <v>-200</v>
      </c>
    </row>
    <row r="85" spans="1:22" x14ac:dyDescent="0.2">
      <c r="A85">
        <v>100</v>
      </c>
      <c r="B85">
        <v>32110</v>
      </c>
      <c r="D85" s="23"/>
      <c r="E85" s="44" t="s">
        <v>372</v>
      </c>
      <c r="G85" s="26">
        <v>-3400</v>
      </c>
      <c r="I85" s="3">
        <v>-2923.75</v>
      </c>
      <c r="L85" s="25">
        <f t="shared" si="2"/>
        <v>-2923.75</v>
      </c>
      <c r="M85" s="81">
        <v>4003</v>
      </c>
      <c r="N85" s="6">
        <v>2</v>
      </c>
      <c r="O85" s="6" t="s">
        <v>14</v>
      </c>
      <c r="P85"/>
      <c r="U85" s="48">
        <v>-2720</v>
      </c>
      <c r="V85" s="48">
        <v>-2720</v>
      </c>
    </row>
    <row r="86" spans="1:22" x14ac:dyDescent="0.2">
      <c r="A86">
        <v>100</v>
      </c>
      <c r="B86">
        <v>32121</v>
      </c>
      <c r="D86" s="23"/>
      <c r="E86" s="44" t="s">
        <v>328</v>
      </c>
      <c r="G86" s="26">
        <v>0</v>
      </c>
      <c r="I86" s="3">
        <v>-200</v>
      </c>
      <c r="L86" s="25">
        <f t="shared" si="2"/>
        <v>-200</v>
      </c>
      <c r="M86" s="81">
        <v>4003</v>
      </c>
      <c r="N86" s="6">
        <v>2</v>
      </c>
      <c r="O86" s="6" t="s">
        <v>14</v>
      </c>
      <c r="P86"/>
      <c r="U86" s="48"/>
      <c r="V86" s="48"/>
    </row>
    <row r="87" spans="1:22" x14ac:dyDescent="0.2">
      <c r="A87">
        <v>100</v>
      </c>
      <c r="B87">
        <v>32151</v>
      </c>
      <c r="D87" s="23"/>
      <c r="E87" s="44" t="s">
        <v>197</v>
      </c>
      <c r="G87" s="26">
        <v>-310</v>
      </c>
      <c r="I87" s="3">
        <v>-150</v>
      </c>
      <c r="L87" s="25">
        <f t="shared" si="2"/>
        <v>-150</v>
      </c>
      <c r="M87" s="81">
        <v>4003</v>
      </c>
      <c r="N87" s="6">
        <v>2</v>
      </c>
      <c r="O87" s="6" t="s">
        <v>14</v>
      </c>
      <c r="P87"/>
      <c r="U87" s="48">
        <v>-100</v>
      </c>
      <c r="V87" s="48">
        <v>-100</v>
      </c>
    </row>
    <row r="88" spans="1:22" x14ac:dyDescent="0.2">
      <c r="A88">
        <v>100</v>
      </c>
      <c r="B88">
        <v>32152</v>
      </c>
      <c r="D88" s="23"/>
      <c r="E88" s="44" t="s">
        <v>198</v>
      </c>
      <c r="G88" s="26">
        <v>-3500</v>
      </c>
      <c r="L88" s="25">
        <f t="shared" si="2"/>
        <v>0</v>
      </c>
      <c r="M88" s="81"/>
      <c r="N88" s="6">
        <v>2</v>
      </c>
      <c r="O88" s="6" t="s">
        <v>14</v>
      </c>
      <c r="P88"/>
      <c r="U88" s="48">
        <v>-25</v>
      </c>
      <c r="V88" s="48">
        <v>-25</v>
      </c>
    </row>
    <row r="89" spans="1:22" x14ac:dyDescent="0.2">
      <c r="A89">
        <v>100</v>
      </c>
      <c r="B89">
        <v>32171</v>
      </c>
      <c r="D89" s="23"/>
      <c r="E89" s="42" t="s">
        <v>373</v>
      </c>
      <c r="G89" s="26">
        <v>-25</v>
      </c>
      <c r="I89" s="3">
        <v>-50</v>
      </c>
      <c r="L89" s="25">
        <f t="shared" si="2"/>
        <v>-50</v>
      </c>
      <c r="M89" s="81">
        <v>4003</v>
      </c>
      <c r="N89" s="6">
        <v>2</v>
      </c>
      <c r="O89" s="6" t="s">
        <v>14</v>
      </c>
      <c r="P89"/>
      <c r="U89" s="48"/>
      <c r="V89" s="48"/>
    </row>
    <row r="90" spans="1:22" x14ac:dyDescent="0.2">
      <c r="A90">
        <v>100</v>
      </c>
      <c r="B90">
        <v>32210</v>
      </c>
      <c r="D90" s="23"/>
      <c r="E90" s="44" t="s">
        <v>199</v>
      </c>
      <c r="G90" s="3">
        <v>-9280.9599999999991</v>
      </c>
      <c r="I90" s="3">
        <v>-3587.25</v>
      </c>
      <c r="L90" s="25">
        <f t="shared" si="2"/>
        <v>-3587.25</v>
      </c>
      <c r="M90" s="81">
        <v>4003</v>
      </c>
      <c r="N90" s="6">
        <v>2</v>
      </c>
      <c r="O90" s="6" t="s">
        <v>14</v>
      </c>
      <c r="P90"/>
      <c r="U90" s="48">
        <v>-7000</v>
      </c>
      <c r="V90" s="48">
        <v>-7000</v>
      </c>
    </row>
    <row r="91" spans="1:22" x14ac:dyDescent="0.2">
      <c r="A91">
        <v>100</v>
      </c>
      <c r="B91">
        <v>32211</v>
      </c>
      <c r="D91" s="23"/>
      <c r="E91" s="44" t="s">
        <v>200</v>
      </c>
      <c r="G91" s="26">
        <v>-539.07000000000005</v>
      </c>
      <c r="I91" s="3">
        <v>-212</v>
      </c>
      <c r="L91" s="25">
        <f t="shared" si="2"/>
        <v>-212</v>
      </c>
      <c r="M91" s="81">
        <v>4003</v>
      </c>
      <c r="N91" s="6">
        <v>2</v>
      </c>
      <c r="O91" s="6" t="s">
        <v>14</v>
      </c>
      <c r="P91"/>
      <c r="U91" s="48">
        <v>-700</v>
      </c>
      <c r="V91" s="48">
        <v>-700</v>
      </c>
    </row>
    <row r="92" spans="1:22" x14ac:dyDescent="0.2">
      <c r="A92">
        <v>100</v>
      </c>
      <c r="B92">
        <v>32212</v>
      </c>
      <c r="D92" s="23"/>
      <c r="E92" s="44" t="s">
        <v>374</v>
      </c>
      <c r="G92" s="26">
        <v>-156.01</v>
      </c>
      <c r="I92" s="3">
        <v>-1193.6300000000001</v>
      </c>
      <c r="L92" s="25">
        <f t="shared" si="2"/>
        <v>-1193.6300000000001</v>
      </c>
      <c r="M92" s="81">
        <v>4003</v>
      </c>
      <c r="N92" s="6">
        <v>2</v>
      </c>
      <c r="O92" s="6" t="s">
        <v>14</v>
      </c>
      <c r="P92"/>
      <c r="U92" s="48">
        <v>-1000</v>
      </c>
      <c r="V92" s="48">
        <v>-1000</v>
      </c>
    </row>
    <row r="93" spans="1:22" x14ac:dyDescent="0.2">
      <c r="A93">
        <v>100</v>
      </c>
      <c r="B93">
        <v>32240</v>
      </c>
      <c r="D93" s="23"/>
      <c r="E93" s="44" t="s">
        <v>201</v>
      </c>
      <c r="G93" s="26">
        <v>-856.64</v>
      </c>
      <c r="I93" s="3">
        <v>-947.73</v>
      </c>
      <c r="L93" s="25">
        <f t="shared" si="2"/>
        <v>-947.73</v>
      </c>
      <c r="M93" s="81">
        <v>4003</v>
      </c>
      <c r="N93" s="6">
        <v>2</v>
      </c>
      <c r="O93" s="6" t="s">
        <v>14</v>
      </c>
      <c r="P93"/>
      <c r="U93" s="48">
        <v>-900</v>
      </c>
      <c r="V93" s="48">
        <v>-900</v>
      </c>
    </row>
    <row r="94" spans="1:22" x14ac:dyDescent="0.2">
      <c r="D94" s="23"/>
      <c r="E94" s="24"/>
      <c r="G94" s="26"/>
      <c r="L94" s="25"/>
      <c r="P94"/>
      <c r="U94" s="48"/>
      <c r="V94" s="48"/>
    </row>
    <row r="95" spans="1:22" x14ac:dyDescent="0.2">
      <c r="D95" s="24" t="s">
        <v>34</v>
      </c>
      <c r="G95" s="26"/>
      <c r="L95" s="25"/>
      <c r="P95"/>
      <c r="U95" s="48"/>
      <c r="V95" s="48"/>
    </row>
    <row r="96" spans="1:22" x14ac:dyDescent="0.2">
      <c r="D96" s="24"/>
      <c r="E96" t="s">
        <v>174</v>
      </c>
      <c r="G96" s="26"/>
      <c r="L96" s="25"/>
      <c r="P96"/>
      <c r="U96" s="48"/>
      <c r="V96" s="48"/>
    </row>
    <row r="97" spans="1:22" x14ac:dyDescent="0.2">
      <c r="A97">
        <v>203</v>
      </c>
      <c r="B97">
        <v>33180</v>
      </c>
      <c r="D97" s="24"/>
      <c r="E97" t="s">
        <v>175</v>
      </c>
      <c r="G97" s="26">
        <v>0</v>
      </c>
      <c r="L97" s="25">
        <f>SUM(I97:K97)</f>
        <v>0</v>
      </c>
      <c r="N97" s="6">
        <v>3</v>
      </c>
      <c r="O97" s="6" t="s">
        <v>155</v>
      </c>
      <c r="P97"/>
      <c r="U97" s="48">
        <v>-46012.81</v>
      </c>
      <c r="V97" s="48">
        <v>-46012.81</v>
      </c>
    </row>
    <row r="98" spans="1:22" x14ac:dyDescent="0.2">
      <c r="D98" s="24"/>
      <c r="G98" s="26"/>
      <c r="L98" s="25"/>
      <c r="P98"/>
      <c r="U98" s="48"/>
      <c r="V98" s="48"/>
    </row>
    <row r="99" spans="1:22" x14ac:dyDescent="0.2">
      <c r="D99" s="23"/>
      <c r="E99" s="24" t="s">
        <v>35</v>
      </c>
      <c r="G99" s="26"/>
      <c r="L99" s="25"/>
      <c r="P99"/>
      <c r="U99" s="48"/>
      <c r="V99" s="48"/>
    </row>
    <row r="100" spans="1:22" x14ac:dyDescent="0.2">
      <c r="A100">
        <v>100</v>
      </c>
      <c r="B100">
        <v>33401</v>
      </c>
      <c r="D100" s="23"/>
      <c r="E100" s="42" t="s">
        <v>36</v>
      </c>
      <c r="G100" s="26">
        <v>-105159</v>
      </c>
      <c r="I100" s="3">
        <v>-124770</v>
      </c>
      <c r="L100" s="25">
        <f>SUM(I100:K100)</f>
        <v>-124770</v>
      </c>
      <c r="M100" s="81">
        <v>4000</v>
      </c>
      <c r="N100" s="6">
        <v>3</v>
      </c>
      <c r="O100" s="6" t="s">
        <v>14</v>
      </c>
      <c r="P100"/>
      <c r="U100" s="48">
        <v>-105159</v>
      </c>
      <c r="V100" s="48">
        <v>-124770</v>
      </c>
    </row>
    <row r="101" spans="1:22" x14ac:dyDescent="0.2">
      <c r="A101">
        <v>100</v>
      </c>
      <c r="B101">
        <v>33402</v>
      </c>
      <c r="D101" s="23"/>
      <c r="E101" s="42" t="s">
        <v>202</v>
      </c>
      <c r="G101" s="26">
        <v>-594.04999999999995</v>
      </c>
      <c r="I101" s="3">
        <v>-7.5</v>
      </c>
      <c r="L101" s="25">
        <f>SUM(I101:K101)</f>
        <v>-7.5</v>
      </c>
      <c r="M101" s="81">
        <v>4000</v>
      </c>
      <c r="N101" s="6">
        <v>3</v>
      </c>
      <c r="O101" s="6" t="s">
        <v>16</v>
      </c>
      <c r="P101"/>
      <c r="U101" s="48"/>
      <c r="V101" s="48"/>
    </row>
    <row r="102" spans="1:22" x14ac:dyDescent="0.2">
      <c r="A102">
        <v>100</v>
      </c>
      <c r="B102">
        <v>33418</v>
      </c>
      <c r="D102" s="23"/>
      <c r="E102" s="86" t="s">
        <v>375</v>
      </c>
      <c r="G102" s="26">
        <v>0</v>
      </c>
      <c r="I102" s="3">
        <v>-12581</v>
      </c>
      <c r="L102" s="25">
        <f>SUM(I102:K102)</f>
        <v>-12581</v>
      </c>
      <c r="M102" s="81">
        <v>4000</v>
      </c>
      <c r="N102" s="6">
        <v>3</v>
      </c>
      <c r="O102" s="6" t="s">
        <v>15</v>
      </c>
      <c r="P102"/>
      <c r="U102" s="48"/>
      <c r="V102" s="48"/>
    </row>
    <row r="103" spans="1:22" x14ac:dyDescent="0.2">
      <c r="A103">
        <v>203</v>
      </c>
      <c r="B103">
        <v>33440</v>
      </c>
      <c r="D103" s="23"/>
      <c r="E103" s="42" t="s">
        <v>205</v>
      </c>
      <c r="G103" s="26">
        <v>-21793</v>
      </c>
      <c r="L103" s="25">
        <f>SUM(I103:K103)</f>
        <v>0</v>
      </c>
      <c r="M103" s="81"/>
      <c r="N103" s="6">
        <v>3</v>
      </c>
      <c r="O103" s="6" t="s">
        <v>22</v>
      </c>
      <c r="P103"/>
      <c r="U103" s="48">
        <v>-21793</v>
      </c>
      <c r="V103" s="48">
        <v>-21793</v>
      </c>
    </row>
    <row r="104" spans="1:22" x14ac:dyDescent="0.2">
      <c r="A104">
        <v>100</v>
      </c>
      <c r="B104" t="s">
        <v>301</v>
      </c>
      <c r="D104" s="23"/>
      <c r="E104" s="42" t="s">
        <v>353</v>
      </c>
      <c r="G104" s="26"/>
      <c r="I104" s="3">
        <v>-2433.0300000000002</v>
      </c>
      <c r="L104" s="25">
        <f>SUM(I104:K104)</f>
        <v>-2433.0300000000002</v>
      </c>
      <c r="M104" s="81">
        <v>4000</v>
      </c>
      <c r="N104" s="6">
        <v>3</v>
      </c>
      <c r="O104" s="6" t="s">
        <v>17</v>
      </c>
      <c r="P104"/>
      <c r="U104" s="48"/>
      <c r="V104" s="48"/>
    </row>
    <row r="105" spans="1:22" x14ac:dyDescent="0.2">
      <c r="D105" s="23"/>
      <c r="E105" s="42"/>
      <c r="G105" s="26"/>
      <c r="L105" s="25"/>
      <c r="P105"/>
      <c r="U105" s="48"/>
      <c r="V105" s="48"/>
    </row>
    <row r="106" spans="1:22" x14ac:dyDescent="0.2">
      <c r="D106" s="39" t="s">
        <v>37</v>
      </c>
      <c r="E106" s="42"/>
      <c r="G106" s="26"/>
      <c r="L106" s="25"/>
      <c r="P106"/>
      <c r="U106" s="48"/>
      <c r="V106" s="48"/>
    </row>
    <row r="107" spans="1:22" x14ac:dyDescent="0.2">
      <c r="D107" s="23"/>
      <c r="E107" s="24" t="s">
        <v>38</v>
      </c>
      <c r="G107" s="26"/>
      <c r="L107" s="25"/>
      <c r="P107"/>
      <c r="U107" s="48"/>
      <c r="V107" s="48"/>
    </row>
    <row r="108" spans="1:22" x14ac:dyDescent="0.2">
      <c r="A108">
        <v>100</v>
      </c>
      <c r="B108">
        <v>34107</v>
      </c>
      <c r="D108" s="23"/>
      <c r="E108" s="42" t="s">
        <v>39</v>
      </c>
      <c r="G108" s="26">
        <v>-200</v>
      </c>
      <c r="I108" s="3">
        <v>-40</v>
      </c>
      <c r="L108" s="25">
        <f>SUM(I108:K108)</f>
        <v>-40</v>
      </c>
      <c r="M108" s="81">
        <v>4003</v>
      </c>
      <c r="N108" s="6">
        <v>4</v>
      </c>
      <c r="O108" s="6" t="s">
        <v>14</v>
      </c>
      <c r="P108"/>
      <c r="U108" s="48">
        <v>-300</v>
      </c>
      <c r="V108" s="48">
        <v>-300</v>
      </c>
    </row>
    <row r="109" spans="1:22" x14ac:dyDescent="0.2">
      <c r="A109">
        <v>100</v>
      </c>
      <c r="B109">
        <v>34109</v>
      </c>
      <c r="D109" s="23"/>
      <c r="E109" s="42" t="s">
        <v>93</v>
      </c>
      <c r="G109" s="26"/>
      <c r="I109" s="3">
        <v>-140</v>
      </c>
      <c r="L109" s="25">
        <f>SUM(I109:K109)</f>
        <v>-140</v>
      </c>
      <c r="M109" s="81">
        <v>4003</v>
      </c>
      <c r="N109" s="6">
        <v>4</v>
      </c>
      <c r="O109" s="6" t="s">
        <v>14</v>
      </c>
      <c r="P109"/>
      <c r="U109" s="48"/>
      <c r="V109" s="48"/>
    </row>
    <row r="110" spans="1:22" x14ac:dyDescent="0.2">
      <c r="A110">
        <v>100</v>
      </c>
      <c r="B110">
        <v>34303</v>
      </c>
      <c r="D110" s="23"/>
      <c r="E110" s="42" t="s">
        <v>203</v>
      </c>
      <c r="G110" s="26">
        <v>-17062.5</v>
      </c>
      <c r="I110" s="3">
        <v>-2875</v>
      </c>
      <c r="L110" s="25">
        <f>SUM(I110:K110)</f>
        <v>-2875</v>
      </c>
      <c r="M110" s="81">
        <v>4003</v>
      </c>
      <c r="N110" s="6">
        <v>4</v>
      </c>
      <c r="O110" s="6" t="s">
        <v>14</v>
      </c>
      <c r="P110"/>
      <c r="U110" s="48">
        <v>-8000</v>
      </c>
      <c r="V110" s="48">
        <v>-8000</v>
      </c>
    </row>
    <row r="111" spans="1:22" x14ac:dyDescent="0.2">
      <c r="D111" s="23"/>
      <c r="E111" s="42"/>
      <c r="G111" s="26"/>
      <c r="L111" s="25"/>
      <c r="P111"/>
      <c r="U111" s="48"/>
      <c r="V111" s="48"/>
    </row>
    <row r="112" spans="1:22" x14ac:dyDescent="0.2">
      <c r="D112" s="43" t="s">
        <v>159</v>
      </c>
      <c r="E112" s="42"/>
      <c r="G112" s="26"/>
      <c r="L112" s="25"/>
      <c r="P112"/>
      <c r="U112" s="48"/>
      <c r="V112" s="48"/>
    </row>
    <row r="113" spans="1:22" x14ac:dyDescent="0.2">
      <c r="A113">
        <v>100</v>
      </c>
      <c r="B113">
        <v>35101</v>
      </c>
      <c r="D113" s="23"/>
      <c r="E113" s="44" t="s">
        <v>41</v>
      </c>
      <c r="G113" s="26">
        <v>-1213.7399999999998</v>
      </c>
      <c r="I113" s="3">
        <v>-269.58999999999997</v>
      </c>
      <c r="L113" s="25">
        <f>SUM(I113:K113)</f>
        <v>-269.58999999999997</v>
      </c>
      <c r="M113" s="81">
        <v>4003</v>
      </c>
      <c r="N113" s="6">
        <v>5</v>
      </c>
      <c r="O113" s="6" t="s">
        <v>14</v>
      </c>
      <c r="P113"/>
      <c r="U113" s="48">
        <v>-500</v>
      </c>
      <c r="V113" s="48">
        <v>-500</v>
      </c>
    </row>
    <row r="114" spans="1:22" x14ac:dyDescent="0.2">
      <c r="D114" s="23"/>
      <c r="E114" s="42"/>
      <c r="G114" s="26"/>
      <c r="L114" s="25"/>
      <c r="P114"/>
      <c r="U114" s="48"/>
      <c r="V114" s="48"/>
    </row>
    <row r="115" spans="1:22" x14ac:dyDescent="0.2">
      <c r="D115" s="43" t="s">
        <v>81</v>
      </c>
      <c r="E115" s="42"/>
      <c r="G115" s="26"/>
      <c r="L115" s="25"/>
      <c r="P115"/>
      <c r="U115" s="48"/>
      <c r="V115" s="48"/>
    </row>
    <row r="116" spans="1:22" x14ac:dyDescent="0.2">
      <c r="A116">
        <v>100</v>
      </c>
      <c r="B116">
        <v>36210</v>
      </c>
      <c r="D116" s="23"/>
      <c r="E116" s="42" t="s">
        <v>42</v>
      </c>
      <c r="G116" s="26">
        <v>-15896.41</v>
      </c>
      <c r="I116" s="3">
        <v>-45848.160000000003</v>
      </c>
      <c r="L116" s="25">
        <f t="shared" ref="L116:L123" si="3">SUM(I116:K116)</f>
        <v>-45848.160000000003</v>
      </c>
      <c r="M116" s="81">
        <v>4003</v>
      </c>
      <c r="N116" s="6">
        <v>6</v>
      </c>
      <c r="O116" s="6" t="s">
        <v>14</v>
      </c>
      <c r="P116"/>
      <c r="U116" s="48">
        <v>-1000</v>
      </c>
      <c r="V116" s="48">
        <v>-1000</v>
      </c>
    </row>
    <row r="117" spans="1:22" x14ac:dyDescent="0.2">
      <c r="A117">
        <v>100</v>
      </c>
      <c r="B117">
        <v>36215</v>
      </c>
      <c r="D117" s="23"/>
      <c r="E117" s="42" t="s">
        <v>46</v>
      </c>
      <c r="G117" s="26">
        <v>0</v>
      </c>
      <c r="L117" s="25">
        <f t="shared" si="3"/>
        <v>0</v>
      </c>
      <c r="N117" s="6">
        <v>7</v>
      </c>
      <c r="O117" s="6" t="s">
        <v>17</v>
      </c>
      <c r="P117"/>
      <c r="U117" s="48">
        <v>0</v>
      </c>
      <c r="V117" s="48">
        <v>0</v>
      </c>
    </row>
    <row r="118" spans="1:22" x14ac:dyDescent="0.2">
      <c r="A118">
        <v>100</v>
      </c>
      <c r="B118">
        <v>36230</v>
      </c>
      <c r="D118" s="23"/>
      <c r="E118" s="42" t="s">
        <v>189</v>
      </c>
      <c r="G118" s="26">
        <v>-18029</v>
      </c>
      <c r="I118" s="3">
        <v>-29453</v>
      </c>
      <c r="L118" s="25">
        <f t="shared" si="3"/>
        <v>-29453</v>
      </c>
      <c r="M118" s="81">
        <v>4003</v>
      </c>
      <c r="N118" s="6">
        <v>7</v>
      </c>
      <c r="O118" s="6" t="s">
        <v>22</v>
      </c>
      <c r="P118"/>
      <c r="U118" s="48">
        <v>0</v>
      </c>
      <c r="V118" s="48">
        <v>0</v>
      </c>
    </row>
    <row r="119" spans="1:22" x14ac:dyDescent="0.2">
      <c r="A119">
        <v>100</v>
      </c>
      <c r="B119">
        <v>36231</v>
      </c>
      <c r="D119" s="23"/>
      <c r="E119" s="44" t="s">
        <v>95</v>
      </c>
      <c r="G119" s="26">
        <v>-1255.44</v>
      </c>
      <c r="H119" s="4" t="s">
        <v>363</v>
      </c>
      <c r="I119" s="3">
        <v>-4702.03</v>
      </c>
      <c r="J119" s="3">
        <v>2433.0300000000002</v>
      </c>
      <c r="K119" s="3">
        <f>-600-747.37</f>
        <v>-1347.37</v>
      </c>
      <c r="L119" s="25">
        <f t="shared" si="3"/>
        <v>-3616.3699999999994</v>
      </c>
      <c r="M119" s="81">
        <v>4003</v>
      </c>
      <c r="N119" s="6">
        <v>7</v>
      </c>
      <c r="O119" s="6" t="s">
        <v>15</v>
      </c>
      <c r="P119"/>
      <c r="U119" s="48">
        <v>0</v>
      </c>
      <c r="V119" s="48">
        <v>0</v>
      </c>
    </row>
    <row r="120" spans="1:22" x14ac:dyDescent="0.2">
      <c r="A120">
        <v>100</v>
      </c>
      <c r="B120">
        <v>36240</v>
      </c>
      <c r="D120" s="23"/>
      <c r="E120" s="44" t="s">
        <v>329</v>
      </c>
      <c r="G120" s="26">
        <v>0</v>
      </c>
      <c r="H120" s="4" t="s">
        <v>362</v>
      </c>
      <c r="I120" s="3">
        <v>-1357.37</v>
      </c>
      <c r="J120" s="3">
        <v>1347.37</v>
      </c>
      <c r="L120" s="25">
        <f t="shared" si="3"/>
        <v>-10</v>
      </c>
      <c r="M120" s="81">
        <v>4003</v>
      </c>
      <c r="N120" s="6">
        <v>7</v>
      </c>
      <c r="O120" s="6" t="s">
        <v>17</v>
      </c>
      <c r="P120"/>
      <c r="U120" s="48"/>
      <c r="V120" s="48"/>
    </row>
    <row r="121" spans="1:22" x14ac:dyDescent="0.2">
      <c r="D121" s="23"/>
      <c r="E121" s="42"/>
      <c r="G121" s="26"/>
      <c r="L121" s="25"/>
      <c r="P121"/>
      <c r="U121" s="48"/>
      <c r="V121" s="48"/>
    </row>
    <row r="122" spans="1:22" x14ac:dyDescent="0.2">
      <c r="D122" s="39" t="s">
        <v>66</v>
      </c>
      <c r="E122" s="42"/>
      <c r="G122" s="26"/>
      <c r="L122" s="25"/>
      <c r="P122"/>
      <c r="U122" s="48"/>
      <c r="V122" s="48"/>
    </row>
    <row r="123" spans="1:22" x14ac:dyDescent="0.2">
      <c r="A123">
        <v>100</v>
      </c>
      <c r="B123">
        <v>39201</v>
      </c>
      <c r="D123" s="39"/>
      <c r="E123" s="42" t="s">
        <v>204</v>
      </c>
      <c r="G123" s="26">
        <v>0</v>
      </c>
      <c r="L123" s="25">
        <f t="shared" si="3"/>
        <v>0</v>
      </c>
      <c r="N123" s="6" t="s">
        <v>10</v>
      </c>
      <c r="P123"/>
      <c r="U123" s="48"/>
      <c r="V123" s="48"/>
    </row>
    <row r="124" spans="1:22" x14ac:dyDescent="0.2">
      <c r="A124">
        <v>100</v>
      </c>
      <c r="B124">
        <v>39990</v>
      </c>
      <c r="D124" s="23"/>
      <c r="E124" s="42" t="s">
        <v>157</v>
      </c>
      <c r="G124" s="26">
        <v>0</v>
      </c>
      <c r="H124" s="4" t="s">
        <v>345</v>
      </c>
      <c r="I124" s="3">
        <v>-417894.65</v>
      </c>
      <c r="J124" s="3">
        <f>103985.7+205041.1+108867.85</f>
        <v>417894.65</v>
      </c>
      <c r="L124" s="25">
        <f>SUM(I124:K124)</f>
        <v>0</v>
      </c>
      <c r="N124" s="6">
        <v>8</v>
      </c>
      <c r="O124" s="6" t="s">
        <v>14</v>
      </c>
      <c r="V124" s="7"/>
    </row>
    <row r="125" spans="1:22" x14ac:dyDescent="0.2">
      <c r="D125" s="23"/>
      <c r="E125" s="42"/>
      <c r="G125" s="26"/>
      <c r="L125" s="25"/>
      <c r="V125" s="7"/>
    </row>
    <row r="126" spans="1:22" ht="13.5" thickBot="1" x14ac:dyDescent="0.25">
      <c r="D126" s="23"/>
      <c r="E126" s="24"/>
      <c r="G126" s="29">
        <f>SUM(G79:G125)</f>
        <v>-390805.89999999997</v>
      </c>
      <c r="I126" s="29">
        <f>SUM(I79:I125)</f>
        <v>-846081.97000000009</v>
      </c>
      <c r="J126" s="29">
        <f>SUM(J79:J125)</f>
        <v>421675.05000000005</v>
      </c>
      <c r="K126" s="29">
        <f>SUM(K79:K125)</f>
        <v>-1347.37</v>
      </c>
      <c r="L126" s="29">
        <f>SUM(L79:L125)</f>
        <v>-425754.29000000004</v>
      </c>
      <c r="P126" s="31">
        <f>P76</f>
        <v>-425754.29000000004</v>
      </c>
      <c r="S126" s="31">
        <f>S76</f>
        <v>-425754.29000000004</v>
      </c>
      <c r="U126" s="32">
        <f>SUM(U79:U125)</f>
        <v>-383809.81</v>
      </c>
      <c r="V126" s="32">
        <f>SUM(V79:V125)</f>
        <v>-407392.81</v>
      </c>
    </row>
    <row r="127" spans="1:22" ht="13.5" thickTop="1" x14ac:dyDescent="0.2">
      <c r="D127" s="23"/>
      <c r="E127" s="24"/>
      <c r="F127" s="77" t="s">
        <v>300</v>
      </c>
      <c r="G127" s="26"/>
      <c r="L127" s="25"/>
      <c r="V127" s="7"/>
    </row>
    <row r="128" spans="1:22" x14ac:dyDescent="0.2">
      <c r="D128" s="1" t="s">
        <v>13</v>
      </c>
      <c r="E128" s="24"/>
      <c r="G128" s="26"/>
      <c r="L128" s="25"/>
      <c r="N128" s="6" t="s">
        <v>14</v>
      </c>
      <c r="P128" s="37" t="s">
        <v>38</v>
      </c>
      <c r="V128" s="7"/>
    </row>
    <row r="129" spans="4:22" x14ac:dyDescent="0.2">
      <c r="D129" s="23"/>
      <c r="E129" s="24"/>
      <c r="G129" s="26"/>
      <c r="L129" s="25">
        <f>L126+843648.94</f>
        <v>417894.64999999991</v>
      </c>
      <c r="P129" s="30">
        <f>S136</f>
        <v>105566.85000000002</v>
      </c>
      <c r="Q129" s="6">
        <v>1</v>
      </c>
      <c r="R129" s="71" t="s">
        <v>59</v>
      </c>
      <c r="S129" s="52">
        <f t="shared" ref="S129:S135" si="4">SUMIFS($L$175:$L$357,$N$175:$N$357,"a",$O$175:$O$357,Q129)</f>
        <v>20207.619999999995</v>
      </c>
      <c r="U129" s="52">
        <f t="shared" ref="U129:U135" si="5">SUMIFS($U$175:$U$357,$N$175:$N$357,"a",$O$175:$O$357,Q129)</f>
        <v>18141</v>
      </c>
      <c r="V129" s="52">
        <f t="shared" ref="V129:V135" si="6">SUMIFS($V$175:$V$357,$N$175:$N$357,"a",$O$175:$O$357,Q129)</f>
        <v>18147</v>
      </c>
    </row>
    <row r="130" spans="4:22" x14ac:dyDescent="0.2">
      <c r="D130" s="23"/>
      <c r="E130" s="24"/>
      <c r="G130" s="26"/>
      <c r="L130" s="25"/>
      <c r="Q130" s="6">
        <v>2</v>
      </c>
      <c r="R130" s="71" t="s">
        <v>60</v>
      </c>
      <c r="S130" s="52">
        <f t="shared" si="4"/>
        <v>45502.690000000017</v>
      </c>
      <c r="U130" s="52">
        <f t="shared" si="5"/>
        <v>58919</v>
      </c>
      <c r="V130" s="52">
        <f t="shared" si="6"/>
        <v>59504</v>
      </c>
    </row>
    <row r="131" spans="4:22" x14ac:dyDescent="0.2">
      <c r="D131" s="23"/>
      <c r="E131" s="24"/>
      <c r="G131" s="26"/>
      <c r="L131" s="25"/>
      <c r="Q131" s="6">
        <v>3</v>
      </c>
      <c r="R131" s="71" t="s">
        <v>61</v>
      </c>
      <c r="S131" s="52">
        <f t="shared" si="4"/>
        <v>11630.6</v>
      </c>
      <c r="U131" s="52">
        <f t="shared" si="5"/>
        <v>12000</v>
      </c>
      <c r="V131" s="52">
        <f t="shared" si="6"/>
        <v>12000</v>
      </c>
    </row>
    <row r="132" spans="4:22" x14ac:dyDescent="0.2">
      <c r="D132" s="23"/>
      <c r="E132" s="24"/>
      <c r="G132" s="26"/>
      <c r="L132" s="25"/>
      <c r="Q132" s="6">
        <v>4</v>
      </c>
      <c r="R132" s="71" t="s">
        <v>55</v>
      </c>
      <c r="S132" s="52">
        <f t="shared" si="4"/>
        <v>4837</v>
      </c>
      <c r="U132" s="52">
        <f t="shared" si="5"/>
        <v>10000</v>
      </c>
      <c r="V132" s="52">
        <f t="shared" si="6"/>
        <v>10000</v>
      </c>
    </row>
    <row r="133" spans="4:22" x14ac:dyDescent="0.2">
      <c r="D133" s="23"/>
      <c r="E133" s="24"/>
      <c r="G133" s="26"/>
      <c r="L133" s="25"/>
      <c r="Q133" s="6">
        <v>5</v>
      </c>
      <c r="R133" s="71" t="s">
        <v>132</v>
      </c>
      <c r="S133" s="52">
        <f t="shared" si="4"/>
        <v>19350.420000000002</v>
      </c>
      <c r="U133" s="52">
        <f t="shared" si="5"/>
        <v>48225.5</v>
      </c>
      <c r="V133" s="52">
        <f t="shared" si="6"/>
        <v>57813.5</v>
      </c>
    </row>
    <row r="134" spans="4:22" x14ac:dyDescent="0.2">
      <c r="D134" s="23"/>
      <c r="E134" s="24"/>
      <c r="G134" s="26"/>
      <c r="L134" s="25"/>
      <c r="Q134" s="6">
        <v>6</v>
      </c>
      <c r="R134" s="71" t="s">
        <v>131</v>
      </c>
      <c r="S134" s="52">
        <f t="shared" si="4"/>
        <v>0</v>
      </c>
      <c r="U134" s="52">
        <f t="shared" si="5"/>
        <v>3500</v>
      </c>
      <c r="V134" s="52">
        <f t="shared" si="6"/>
        <v>3500</v>
      </c>
    </row>
    <row r="135" spans="4:22" x14ac:dyDescent="0.2">
      <c r="D135" s="23"/>
      <c r="E135" s="24"/>
      <c r="G135" s="26"/>
      <c r="L135" s="25"/>
      <c r="Q135" s="6">
        <v>7</v>
      </c>
      <c r="R135" s="71" t="s">
        <v>142</v>
      </c>
      <c r="S135" s="52">
        <f t="shared" si="4"/>
        <v>4038.52</v>
      </c>
      <c r="U135" s="52">
        <f t="shared" si="5"/>
        <v>0</v>
      </c>
      <c r="V135" s="52">
        <f t="shared" si="6"/>
        <v>4075</v>
      </c>
    </row>
    <row r="136" spans="4:22" x14ac:dyDescent="0.2">
      <c r="D136" s="23"/>
      <c r="E136" s="24"/>
      <c r="G136" s="26"/>
      <c r="L136" s="25"/>
      <c r="S136" s="30">
        <f>SUM(S129:S135)</f>
        <v>105566.85000000002</v>
      </c>
      <c r="U136" s="76">
        <f>SUM(U129:U135)</f>
        <v>150785.5</v>
      </c>
      <c r="V136" s="76">
        <f>SUM(V129:V135)</f>
        <v>165039.5</v>
      </c>
    </row>
    <row r="137" spans="4:22" x14ac:dyDescent="0.2">
      <c r="D137" s="23"/>
      <c r="E137" s="24"/>
      <c r="G137" s="26"/>
      <c r="L137" s="25"/>
      <c r="V137" s="7"/>
    </row>
    <row r="138" spans="4:22" x14ac:dyDescent="0.2">
      <c r="D138" s="23"/>
      <c r="E138" s="24"/>
      <c r="G138" s="26"/>
      <c r="L138" s="25"/>
      <c r="N138" s="6" t="s">
        <v>15</v>
      </c>
      <c r="P138" s="3" t="s">
        <v>40</v>
      </c>
      <c r="V138" s="7"/>
    </row>
    <row r="139" spans="4:22" x14ac:dyDescent="0.2">
      <c r="D139" s="23"/>
      <c r="E139" s="24"/>
      <c r="G139" s="26"/>
      <c r="L139" s="25"/>
      <c r="P139" s="30">
        <f>S143</f>
        <v>28191.18</v>
      </c>
      <c r="Q139" s="6">
        <v>1</v>
      </c>
      <c r="R139" s="71" t="s">
        <v>62</v>
      </c>
      <c r="S139" s="52">
        <f>SUMIFS($L$175:$L$357,$N$175:$N$357,"B",$O$175:$O$357,Q139)</f>
        <v>10788.2</v>
      </c>
      <c r="U139" s="52">
        <f>SUMIFS($U$175:$U$357,$N$175:$N$357,"b",$O$175:$O$357,Q139)</f>
        <v>9600</v>
      </c>
      <c r="V139" s="52">
        <f>SUMIFS($V$175:$V$357,$N$175:$N$357,"b",$O$175:$O$357,Q139)</f>
        <v>10500</v>
      </c>
    </row>
    <row r="140" spans="4:22" x14ac:dyDescent="0.2">
      <c r="D140" s="23"/>
      <c r="E140" s="24"/>
      <c r="G140" s="26"/>
      <c r="L140" s="25"/>
      <c r="Q140" s="6">
        <v>2</v>
      </c>
      <c r="R140" s="71" t="s">
        <v>349</v>
      </c>
      <c r="S140" s="52">
        <f>SUMIFS($L$175:$L$357,$N$175:$N$357,"B",$O$175:$O$357,Q140)</f>
        <v>13640.91</v>
      </c>
      <c r="U140" s="52">
        <f>SUMIFS($U$175:$U$357,$N$175:$N$357,"b",$O$175:$O$357,Q140)</f>
        <v>0</v>
      </c>
      <c r="V140" s="52">
        <f>SUMIFS($V$175:$V$357,$N$175:$N$357,"b",$O$175:$O$357,Q140)</f>
        <v>0</v>
      </c>
    </row>
    <row r="141" spans="4:22" x14ac:dyDescent="0.2">
      <c r="D141" s="23"/>
      <c r="E141" s="24"/>
      <c r="G141" s="26"/>
      <c r="L141" s="25"/>
      <c r="Q141" s="6">
        <v>3</v>
      </c>
      <c r="R141" s="71" t="s">
        <v>310</v>
      </c>
      <c r="S141" s="52">
        <f>SUMIFS($L$175:$L$357,$N$175:$N$357,"B",$O$175:$O$357,Q141)</f>
        <v>3762.07</v>
      </c>
      <c r="U141" s="52">
        <f>SUMIFS($U$175:$U$357,$N$175:$N$357,"b",$O$175:$O$357,Q141)</f>
        <v>2500</v>
      </c>
      <c r="V141" s="52">
        <f>SUMIFS($V$175:$V$357,$N$175:$N$357,"b",$O$175:$O$357,Q141)</f>
        <v>7500</v>
      </c>
    </row>
    <row r="142" spans="4:22" x14ac:dyDescent="0.2">
      <c r="D142" s="23"/>
      <c r="E142" s="24"/>
      <c r="G142" s="26"/>
      <c r="L142" s="25"/>
      <c r="Q142" s="6">
        <v>4</v>
      </c>
      <c r="R142" s="71" t="s">
        <v>56</v>
      </c>
      <c r="S142" s="52">
        <f>SUMIFS($L$175:$L$357,$N$175:$N$357,"B",$O$175:$O$357,Q142)</f>
        <v>0</v>
      </c>
      <c r="U142" s="52">
        <f>SUMIFS($U$175:$U$357,$N$175:$N$357,"b",$O$175:$O$357,Q142)</f>
        <v>0</v>
      </c>
      <c r="V142" s="52">
        <f>SUMIFS($V$175:$V$357,$N$175:$N$357,"b",$O$175:$O$357,Q142)</f>
        <v>0</v>
      </c>
    </row>
    <row r="143" spans="4:22" x14ac:dyDescent="0.2">
      <c r="D143" s="23"/>
      <c r="E143" s="24"/>
      <c r="G143" s="26"/>
      <c r="L143" s="25"/>
      <c r="S143" s="30">
        <f>SUM(S139:S142)</f>
        <v>28191.18</v>
      </c>
      <c r="U143" s="30">
        <f>SUM(U139:U142)</f>
        <v>12100</v>
      </c>
      <c r="V143" s="30">
        <f>SUM(V139:V142)</f>
        <v>18000</v>
      </c>
    </row>
    <row r="144" spans="4:22" x14ac:dyDescent="0.2">
      <c r="D144" s="23"/>
      <c r="E144" s="24"/>
      <c r="G144" s="26"/>
      <c r="L144" s="25"/>
      <c r="V144" s="7"/>
    </row>
    <row r="145" spans="4:22" x14ac:dyDescent="0.2">
      <c r="D145" s="23"/>
      <c r="E145" s="24"/>
      <c r="G145" s="26"/>
      <c r="L145" s="25"/>
      <c r="N145" s="6" t="s">
        <v>16</v>
      </c>
      <c r="P145" s="37" t="s">
        <v>63</v>
      </c>
      <c r="V145" s="7"/>
    </row>
    <row r="146" spans="4:22" x14ac:dyDescent="0.2">
      <c r="D146" s="23"/>
      <c r="E146" s="24"/>
      <c r="G146" s="26"/>
      <c r="L146" s="25"/>
      <c r="P146" s="30">
        <f>S152</f>
        <v>54978.189999999995</v>
      </c>
      <c r="Q146" s="6">
        <v>1</v>
      </c>
      <c r="R146" s="71" t="s">
        <v>64</v>
      </c>
      <c r="S146" s="52">
        <f t="shared" ref="S146:S151" si="7">SUMIFS($L$175:$L$357,$N$175:$N$357,"c",$O$175:$O$357,Q146)</f>
        <v>42471.479999999996</v>
      </c>
      <c r="U146" s="52">
        <f t="shared" ref="U146:U151" si="8">SUMIFS($U$175:$U$357,$N$175:$N$357,"c",$O$175:$O$357,Q146)</f>
        <v>75258.86</v>
      </c>
      <c r="V146" s="52">
        <f t="shared" ref="V146:V151" si="9">SUMIFS($V$175:$V$357,$N$175:$N$357,"c",$O$175:$O$357,Q146)</f>
        <v>69586.86</v>
      </c>
    </row>
    <row r="147" spans="4:22" x14ac:dyDescent="0.2">
      <c r="D147" s="23"/>
      <c r="E147" s="24"/>
      <c r="G147" s="26"/>
      <c r="L147" s="25"/>
      <c r="Q147" s="6">
        <v>3</v>
      </c>
      <c r="R147" s="71" t="s">
        <v>180</v>
      </c>
      <c r="S147" s="52">
        <f t="shared" si="7"/>
        <v>4293</v>
      </c>
      <c r="U147" s="52">
        <f t="shared" si="8"/>
        <v>0</v>
      </c>
      <c r="V147" s="52">
        <f t="shared" si="9"/>
        <v>0</v>
      </c>
    </row>
    <row r="148" spans="4:22" x14ac:dyDescent="0.2">
      <c r="D148" s="23"/>
      <c r="E148" s="24"/>
      <c r="G148" s="26"/>
      <c r="L148" s="25"/>
      <c r="Q148" s="6">
        <v>2</v>
      </c>
      <c r="R148" s="71" t="s">
        <v>57</v>
      </c>
      <c r="S148" s="52">
        <f t="shared" si="7"/>
        <v>7168.71</v>
      </c>
      <c r="U148" s="52">
        <f t="shared" si="8"/>
        <v>9000</v>
      </c>
      <c r="V148" s="52">
        <f t="shared" si="9"/>
        <v>9000</v>
      </c>
    </row>
    <row r="149" spans="4:22" x14ac:dyDescent="0.2">
      <c r="D149" s="23"/>
      <c r="E149" s="24"/>
      <c r="G149" s="26"/>
      <c r="L149" s="25"/>
      <c r="Q149" s="6">
        <v>6</v>
      </c>
      <c r="R149" s="71" t="s">
        <v>193</v>
      </c>
      <c r="S149" s="52">
        <f t="shared" si="7"/>
        <v>1045</v>
      </c>
      <c r="U149" s="52">
        <f t="shared" si="8"/>
        <v>2000</v>
      </c>
      <c r="V149" s="52">
        <f t="shared" si="9"/>
        <v>4000</v>
      </c>
    </row>
    <row r="150" spans="4:22" x14ac:dyDescent="0.2">
      <c r="D150" s="23"/>
      <c r="E150" s="24"/>
      <c r="G150" s="26"/>
      <c r="L150" s="25"/>
      <c r="Q150" s="6">
        <v>4</v>
      </c>
      <c r="R150" s="71" t="s">
        <v>187</v>
      </c>
      <c r="S150" s="52">
        <f t="shared" si="7"/>
        <v>0</v>
      </c>
      <c r="U150" s="52">
        <f t="shared" si="8"/>
        <v>0</v>
      </c>
      <c r="V150" s="52">
        <f t="shared" si="9"/>
        <v>0</v>
      </c>
    </row>
    <row r="151" spans="4:22" x14ac:dyDescent="0.2">
      <c r="D151" s="23"/>
      <c r="E151" s="24"/>
      <c r="G151" s="26"/>
      <c r="L151" s="25"/>
      <c r="Q151" s="6">
        <v>5</v>
      </c>
      <c r="R151" s="71" t="s">
        <v>188</v>
      </c>
      <c r="S151" s="52">
        <f t="shared" si="7"/>
        <v>0</v>
      </c>
      <c r="U151" s="52">
        <f t="shared" si="8"/>
        <v>0</v>
      </c>
      <c r="V151" s="52">
        <f t="shared" si="9"/>
        <v>0</v>
      </c>
    </row>
    <row r="152" spans="4:22" x14ac:dyDescent="0.2">
      <c r="D152" s="23"/>
      <c r="E152" s="24"/>
      <c r="G152" s="26"/>
      <c r="L152" s="25"/>
      <c r="S152" s="30">
        <f>SUM(S146:S151)</f>
        <v>54978.189999999995</v>
      </c>
      <c r="U152" s="30">
        <f>SUM(U146:U151)</f>
        <v>86258.86</v>
      </c>
      <c r="V152" s="30">
        <f>SUM(V146:V151)</f>
        <v>82586.86</v>
      </c>
    </row>
    <row r="153" spans="4:22" x14ac:dyDescent="0.2">
      <c r="D153" s="23"/>
      <c r="E153" s="24"/>
      <c r="G153" s="26"/>
      <c r="L153" s="25"/>
      <c r="V153" s="7"/>
    </row>
    <row r="154" spans="4:22" x14ac:dyDescent="0.2">
      <c r="D154" s="23"/>
      <c r="E154" s="24"/>
      <c r="G154" s="26"/>
      <c r="L154" s="25"/>
      <c r="N154" s="6" t="s">
        <v>17</v>
      </c>
      <c r="P154" s="3" t="s">
        <v>65</v>
      </c>
      <c r="V154" s="7"/>
    </row>
    <row r="155" spans="4:22" x14ac:dyDescent="0.2">
      <c r="D155" s="23"/>
      <c r="E155" s="24"/>
      <c r="G155" s="26"/>
      <c r="L155" s="25"/>
      <c r="P155" s="30">
        <f>S160</f>
        <v>40391.18</v>
      </c>
      <c r="Q155" s="6">
        <v>1</v>
      </c>
      <c r="R155" s="71" t="s">
        <v>58</v>
      </c>
      <c r="S155" s="52">
        <f>SUMIFS($L$175:$L$357,$N$175:$N$357,"d",$O$175:$O$357,Q155)</f>
        <v>2142.8200000000002</v>
      </c>
      <c r="U155" s="52">
        <f>SUMIFS($U$175:$U$357,$N$175:$N$357,"d",$O$175:$O$357,Q155)</f>
        <v>2665</v>
      </c>
      <c r="V155" s="52">
        <f>SUMIFS($V$175:$V$357,$N$175:$N$357,"d",$O$175:$O$357,Q155)</f>
        <v>2723</v>
      </c>
    </row>
    <row r="156" spans="4:22" x14ac:dyDescent="0.2">
      <c r="D156" s="23"/>
      <c r="E156" s="24"/>
      <c r="G156" s="26"/>
      <c r="L156" s="25"/>
      <c r="Q156" s="6">
        <v>2</v>
      </c>
      <c r="R156" s="71" t="s">
        <v>261</v>
      </c>
      <c r="S156" s="52">
        <f>SUMIFS($L$175:$L$357,$N$175:$N$357,"d",$O$175:$O$357,Q156)</f>
        <v>11652.64</v>
      </c>
      <c r="U156" s="52">
        <f>SUMIFS($U$175:$U$357,$N$175:$N$357,"d",$O$175:$O$357,Q156)</f>
        <v>12783</v>
      </c>
      <c r="V156" s="52">
        <f>SUMIFS($V$175:$V$357,$N$175:$N$357,"d",$O$175:$O$357,Q156)</f>
        <v>13296</v>
      </c>
    </row>
    <row r="157" spans="4:22" x14ac:dyDescent="0.2">
      <c r="D157" s="23"/>
      <c r="E157" s="24"/>
      <c r="G157" s="26"/>
      <c r="L157" s="25"/>
      <c r="Q157" s="6">
        <v>3</v>
      </c>
      <c r="R157" s="71" t="s">
        <v>264</v>
      </c>
      <c r="S157" s="52">
        <f>SUMIFS($L$175:$L$357,$N$175:$N$357,"d",$O$175:$O$357,Q157)</f>
        <v>22133.370000000003</v>
      </c>
      <c r="U157" s="52">
        <f>SUMIFS($U$175:$U$357,$N$175:$N$357,"d",$O$175:$O$357,Q157)</f>
        <v>17044</v>
      </c>
      <c r="V157" s="52">
        <f>SUMIFS($V$175:$V$357,$N$175:$N$357,"d",$O$175:$O$357,Q157)</f>
        <v>18054</v>
      </c>
    </row>
    <row r="158" spans="4:22" x14ac:dyDescent="0.2">
      <c r="D158" s="23"/>
      <c r="E158" s="24"/>
      <c r="G158" s="26"/>
      <c r="L158" s="25"/>
      <c r="Q158" s="6">
        <v>4</v>
      </c>
      <c r="R158" s="71" t="s">
        <v>321</v>
      </c>
      <c r="S158" s="52">
        <f>SUMIFS($L$175:$L$357,$N$175:$N$357,"d",$O$175:$O$357,Q158)</f>
        <v>4462.3500000000004</v>
      </c>
      <c r="U158" s="52">
        <f>SUMIFS($U$175:$U$357,$N$175:$N$357,"d",$O$175:$O$357,Q158)</f>
        <v>30000</v>
      </c>
      <c r="V158" s="52">
        <f>SUMIFS($V$175:$V$357,$N$175:$N$357,"d",$O$175:$O$357,Q158)</f>
        <v>30000</v>
      </c>
    </row>
    <row r="159" spans="4:22" x14ac:dyDescent="0.2">
      <c r="D159" s="23"/>
      <c r="E159" s="24"/>
      <c r="G159" s="26"/>
      <c r="L159" s="25"/>
      <c r="S159" s="3"/>
      <c r="T159" s="3"/>
      <c r="U159" s="3"/>
    </row>
    <row r="160" spans="4:22" x14ac:dyDescent="0.2">
      <c r="D160" s="23"/>
      <c r="E160" s="24"/>
      <c r="G160" s="26"/>
      <c r="L160" s="25"/>
      <c r="S160" s="30">
        <f>SUM(S155:S158)</f>
        <v>40391.18</v>
      </c>
      <c r="T160" s="3"/>
      <c r="U160" s="30">
        <f>SUM(U155:U158)</f>
        <v>62492</v>
      </c>
      <c r="V160" s="30">
        <f>SUM(V155:V158)</f>
        <v>64073</v>
      </c>
    </row>
    <row r="161" spans="1:22" x14ac:dyDescent="0.2">
      <c r="D161" s="23"/>
      <c r="E161" s="24"/>
      <c r="G161" s="26"/>
      <c r="L161" s="25"/>
      <c r="S161" s="3"/>
      <c r="T161" s="3"/>
      <c r="U161" s="52"/>
      <c r="V161" s="52"/>
    </row>
    <row r="162" spans="1:22" x14ac:dyDescent="0.2">
      <c r="D162" s="23"/>
      <c r="E162" s="24"/>
      <c r="G162" s="26"/>
      <c r="L162" s="33" t="s">
        <v>18</v>
      </c>
      <c r="P162" s="30">
        <f>SUM(P129:P160)</f>
        <v>229127.40000000002</v>
      </c>
      <c r="S162" s="30">
        <f>+S160+S152+S143+S136</f>
        <v>229127.40000000002</v>
      </c>
      <c r="U162" s="30">
        <f>+U160+U152+U143+U136</f>
        <v>311636.36</v>
      </c>
      <c r="V162" s="30">
        <f>+V160+V152+V143+V136</f>
        <v>329699.36</v>
      </c>
    </row>
    <row r="163" spans="1:22" x14ac:dyDescent="0.2">
      <c r="D163" s="23"/>
      <c r="E163" s="24"/>
      <c r="G163" s="26"/>
      <c r="L163" s="33"/>
      <c r="V163" s="7"/>
    </row>
    <row r="164" spans="1:22" x14ac:dyDescent="0.2">
      <c r="D164" s="23"/>
      <c r="E164" s="24"/>
      <c r="G164" s="26"/>
      <c r="L164" s="33"/>
      <c r="N164" s="6" t="s">
        <v>155</v>
      </c>
      <c r="P164" s="3" t="s">
        <v>67</v>
      </c>
      <c r="V164" s="7"/>
    </row>
    <row r="165" spans="1:22" x14ac:dyDescent="0.2">
      <c r="D165" s="23"/>
      <c r="E165" s="24"/>
      <c r="G165" s="26"/>
      <c r="L165" s="33"/>
      <c r="P165" s="30">
        <f>S167</f>
        <v>69563.81</v>
      </c>
      <c r="Q165" s="6">
        <v>1</v>
      </c>
      <c r="R165" s="71" t="s">
        <v>11</v>
      </c>
      <c r="S165" s="52">
        <f>SUMIFS($L$175:$L$357,$N$175:$N$357,"f",$O$175:$O$357,Q165)</f>
        <v>69563.81</v>
      </c>
      <c r="U165" s="52">
        <f>SUMIFS($U$175:$U$357,$N$175:$N$357,"f",$O$175:$O$357,Q165)</f>
        <v>16000</v>
      </c>
      <c r="V165" s="52">
        <f>SUMIFS($V$175:$V$357,$N$175:$N$357,"f",$O$175:$O$357,Q165)</f>
        <v>16000</v>
      </c>
    </row>
    <row r="166" spans="1:22" x14ac:dyDescent="0.2">
      <c r="D166" s="23"/>
      <c r="E166" s="24"/>
      <c r="G166" s="26"/>
      <c r="L166" s="33"/>
      <c r="Q166" s="6">
        <v>2</v>
      </c>
      <c r="R166" s="71" t="s">
        <v>161</v>
      </c>
      <c r="S166" s="52">
        <f>SUMIFS($L$175:$L$357,$N$175:$N$357,"f",$O$175:$O$357,Q166)</f>
        <v>0</v>
      </c>
      <c r="U166" s="52">
        <f>SUMIFS($U$175:$U$357,$N$175:$N$357,"f",$O$175:$O$357,Q166)</f>
        <v>0</v>
      </c>
      <c r="V166" s="52">
        <f>SUMIFS($V$175:$V$357,$N$175:$N$357,"f",$O$175:$O$357,Q166)</f>
        <v>0</v>
      </c>
    </row>
    <row r="167" spans="1:22" x14ac:dyDescent="0.2">
      <c r="D167" s="23"/>
      <c r="E167" s="24"/>
      <c r="G167" s="26"/>
      <c r="L167" s="33"/>
      <c r="P167"/>
      <c r="S167" s="30">
        <f>SUM(S165:S166)</f>
        <v>69563.81</v>
      </c>
      <c r="U167" s="30">
        <f>SUM(U165:U166)</f>
        <v>16000</v>
      </c>
      <c r="V167" s="30">
        <f>SUM(V165:V166)</f>
        <v>16000</v>
      </c>
    </row>
    <row r="168" spans="1:22" x14ac:dyDescent="0.2">
      <c r="D168" s="23"/>
      <c r="E168" s="24"/>
      <c r="G168" s="26"/>
      <c r="L168" s="33"/>
      <c r="V168" s="7"/>
    </row>
    <row r="169" spans="1:22" ht="13.5" thickBot="1" x14ac:dyDescent="0.25">
      <c r="D169" s="23"/>
      <c r="E169" s="24"/>
      <c r="G169" s="26"/>
      <c r="L169" s="33" t="s">
        <v>19</v>
      </c>
      <c r="P169" s="31">
        <f>P162+P165</f>
        <v>298691.21000000002</v>
      </c>
      <c r="S169" s="31">
        <f>+S167+S162</f>
        <v>298691.21000000002</v>
      </c>
      <c r="U169" s="50">
        <f>+U167+U162</f>
        <v>327636.36</v>
      </c>
      <c r="V169" s="50">
        <f>+V167+V162</f>
        <v>345699.36</v>
      </c>
    </row>
    <row r="170" spans="1:22" ht="13.5" thickTop="1" x14ac:dyDescent="0.2">
      <c r="D170" s="23"/>
      <c r="E170" s="24"/>
      <c r="G170" s="26"/>
      <c r="L170" s="25"/>
      <c r="V170" s="7"/>
    </row>
    <row r="171" spans="1:22" x14ac:dyDescent="0.2">
      <c r="D171" s="23"/>
      <c r="E171" s="24"/>
      <c r="G171" s="26"/>
      <c r="L171" s="25"/>
      <c r="V171" s="7"/>
    </row>
    <row r="172" spans="1:22" ht="12.75" customHeight="1" x14ac:dyDescent="0.2">
      <c r="V172" s="7"/>
    </row>
    <row r="173" spans="1:22" x14ac:dyDescent="0.2">
      <c r="D173" s="39" t="s">
        <v>38</v>
      </c>
      <c r="E173" s="24"/>
      <c r="G173" s="26"/>
      <c r="L173" s="25"/>
      <c r="P173">
        <f>SUMIF(C176:C357,"122",L176:L357)</f>
        <v>3911.46</v>
      </c>
      <c r="U173" s="48"/>
      <c r="V173" s="48"/>
    </row>
    <row r="174" spans="1:22" x14ac:dyDescent="0.2">
      <c r="D174" s="43" t="s">
        <v>51</v>
      </c>
      <c r="E174" s="24"/>
      <c r="G174" s="26"/>
      <c r="L174" s="25"/>
      <c r="P174"/>
      <c r="U174" s="48"/>
      <c r="V174" s="48"/>
    </row>
    <row r="175" spans="1:22" ht="14.25" customHeight="1" x14ac:dyDescent="0.2">
      <c r="D175" s="24"/>
      <c r="E175" s="38" t="s">
        <v>52</v>
      </c>
      <c r="G175" s="26"/>
      <c r="L175" s="25"/>
      <c r="P175"/>
      <c r="U175" s="48"/>
      <c r="V175" s="48"/>
    </row>
    <row r="176" spans="1:22" ht="14.25" customHeight="1" x14ac:dyDescent="0.2">
      <c r="A176">
        <v>100</v>
      </c>
      <c r="B176">
        <v>41110</v>
      </c>
      <c r="C176">
        <v>100</v>
      </c>
      <c r="D176" s="24"/>
      <c r="E176" t="s">
        <v>210</v>
      </c>
      <c r="G176" s="26">
        <v>-0.02</v>
      </c>
      <c r="I176" s="3">
        <v>0.05</v>
      </c>
      <c r="L176" s="25">
        <f t="shared" ref="L176:L185" si="10">SUM(I176:K176)</f>
        <v>0.05</v>
      </c>
      <c r="N176" s="6" t="s">
        <v>14</v>
      </c>
      <c r="O176" s="6">
        <v>1</v>
      </c>
      <c r="P176"/>
      <c r="U176" s="48"/>
      <c r="V176" s="48"/>
    </row>
    <row r="177" spans="1:22" x14ac:dyDescent="0.2">
      <c r="A177">
        <v>100</v>
      </c>
      <c r="B177">
        <v>41110</v>
      </c>
      <c r="C177">
        <v>103</v>
      </c>
      <c r="D177" s="39"/>
      <c r="E177" s="44" t="s">
        <v>53</v>
      </c>
      <c r="G177" s="26">
        <v>9456.64</v>
      </c>
      <c r="I177" s="3">
        <v>10934.24</v>
      </c>
      <c r="L177" s="25">
        <f t="shared" si="10"/>
        <v>10934.24</v>
      </c>
      <c r="N177" s="6" t="s">
        <v>14</v>
      </c>
      <c r="O177" s="6">
        <v>1</v>
      </c>
      <c r="P177"/>
      <c r="U177" s="48">
        <v>10500</v>
      </c>
      <c r="V177" s="48">
        <v>10500</v>
      </c>
    </row>
    <row r="178" spans="1:22" x14ac:dyDescent="0.2">
      <c r="A178">
        <v>100</v>
      </c>
      <c r="B178">
        <v>41110</v>
      </c>
      <c r="C178">
        <v>108</v>
      </c>
      <c r="D178" s="39"/>
      <c r="E178" s="44" t="s">
        <v>215</v>
      </c>
      <c r="G178" s="26">
        <v>0</v>
      </c>
      <c r="I178" s="3">
        <v>148.47999999999999</v>
      </c>
      <c r="L178" s="25">
        <f t="shared" si="10"/>
        <v>148.47999999999999</v>
      </c>
      <c r="N178" s="6" t="s">
        <v>14</v>
      </c>
      <c r="O178" s="6">
        <v>1</v>
      </c>
      <c r="P178"/>
      <c r="U178" s="48"/>
      <c r="V178" s="48"/>
    </row>
    <row r="179" spans="1:22" x14ac:dyDescent="0.2">
      <c r="A179">
        <v>100</v>
      </c>
      <c r="B179">
        <v>41110</v>
      </c>
      <c r="C179">
        <v>113</v>
      </c>
      <c r="D179" s="39"/>
      <c r="E179" s="44" t="s">
        <v>216</v>
      </c>
      <c r="G179" s="26">
        <v>0</v>
      </c>
      <c r="I179" s="3">
        <v>634.88</v>
      </c>
      <c r="L179" s="25">
        <f t="shared" si="10"/>
        <v>634.88</v>
      </c>
      <c r="N179" s="6" t="s">
        <v>14</v>
      </c>
      <c r="O179" s="6">
        <v>1</v>
      </c>
      <c r="P179"/>
      <c r="U179" s="48"/>
      <c r="V179" s="48"/>
    </row>
    <row r="180" spans="1:22" x14ac:dyDescent="0.2">
      <c r="A180">
        <v>100</v>
      </c>
      <c r="B180">
        <v>41110</v>
      </c>
      <c r="C180">
        <v>122</v>
      </c>
      <c r="D180" s="39"/>
      <c r="E180" s="42" t="s">
        <v>218</v>
      </c>
      <c r="G180" s="26">
        <v>0</v>
      </c>
      <c r="I180" s="3">
        <v>634.88</v>
      </c>
      <c r="L180" s="25">
        <f t="shared" si="10"/>
        <v>634.88</v>
      </c>
      <c r="N180" s="6" t="s">
        <v>14</v>
      </c>
      <c r="O180" s="6">
        <v>1</v>
      </c>
      <c r="P180"/>
      <c r="U180" s="48"/>
      <c r="V180" s="48"/>
    </row>
    <row r="181" spans="1:22" x14ac:dyDescent="0.2">
      <c r="A181">
        <v>100</v>
      </c>
      <c r="B181">
        <v>41110</v>
      </c>
      <c r="C181">
        <v>135</v>
      </c>
      <c r="D181" s="39"/>
      <c r="E181" s="42" t="s">
        <v>219</v>
      </c>
      <c r="G181" s="26">
        <v>0</v>
      </c>
      <c r="I181" s="3">
        <v>148.47999999999999</v>
      </c>
      <c r="L181" s="25">
        <f t="shared" si="10"/>
        <v>148.47999999999999</v>
      </c>
      <c r="N181" s="6" t="s">
        <v>14</v>
      </c>
      <c r="O181" s="6">
        <v>1</v>
      </c>
      <c r="P181"/>
      <c r="U181" s="48"/>
      <c r="V181" s="48"/>
    </row>
    <row r="182" spans="1:22" x14ac:dyDescent="0.2">
      <c r="A182">
        <v>100</v>
      </c>
      <c r="B182">
        <v>41110</v>
      </c>
      <c r="C182">
        <v>309</v>
      </c>
      <c r="D182" s="39"/>
      <c r="E182" s="44" t="s">
        <v>78</v>
      </c>
      <c r="G182" s="26">
        <v>5788</v>
      </c>
      <c r="I182" s="3">
        <v>5983.24</v>
      </c>
      <c r="L182" s="25">
        <f t="shared" si="10"/>
        <v>5983.24</v>
      </c>
      <c r="N182" s="6" t="s">
        <v>14</v>
      </c>
      <c r="O182" s="6">
        <v>1</v>
      </c>
      <c r="P182"/>
      <c r="U182" s="48">
        <v>5000</v>
      </c>
      <c r="V182" s="48">
        <v>5000</v>
      </c>
    </row>
    <row r="183" spans="1:22" x14ac:dyDescent="0.2">
      <c r="A183">
        <v>100</v>
      </c>
      <c r="B183">
        <v>41110</v>
      </c>
      <c r="C183">
        <v>310</v>
      </c>
      <c r="D183" s="39"/>
      <c r="E183" s="44" t="s">
        <v>211</v>
      </c>
      <c r="G183" s="26">
        <v>1050</v>
      </c>
      <c r="L183" s="25">
        <f t="shared" si="10"/>
        <v>0</v>
      </c>
      <c r="N183" s="6" t="s">
        <v>14</v>
      </c>
      <c r="O183" s="6">
        <v>1</v>
      </c>
      <c r="P183"/>
      <c r="R183" s="71">
        <f>SUMIF(C175:C359,122,L175:L359)</f>
        <v>3911.46</v>
      </c>
      <c r="U183" s="48">
        <v>1200</v>
      </c>
      <c r="V183" s="48">
        <v>1200</v>
      </c>
    </row>
    <row r="184" spans="1:22" x14ac:dyDescent="0.2">
      <c r="A184">
        <v>100</v>
      </c>
      <c r="B184">
        <v>41110</v>
      </c>
      <c r="C184">
        <v>365</v>
      </c>
      <c r="D184" s="39"/>
      <c r="E184" s="44" t="s">
        <v>212</v>
      </c>
      <c r="G184" s="26">
        <v>95</v>
      </c>
      <c r="I184" s="3">
        <v>95</v>
      </c>
      <c r="L184" s="25">
        <f t="shared" si="10"/>
        <v>95</v>
      </c>
      <c r="N184" s="6" t="s">
        <v>14</v>
      </c>
      <c r="O184" s="6">
        <v>1</v>
      </c>
      <c r="P184"/>
      <c r="R184" s="71">
        <f>SUMIF(C176:C360,135,L176:L360)</f>
        <v>913.80000000000007</v>
      </c>
      <c r="U184" s="48">
        <v>100</v>
      </c>
      <c r="V184" s="48">
        <v>106</v>
      </c>
    </row>
    <row r="185" spans="1:22" x14ac:dyDescent="0.2">
      <c r="A185">
        <v>100</v>
      </c>
      <c r="B185">
        <v>41110</v>
      </c>
      <c r="C185">
        <v>433</v>
      </c>
      <c r="D185" s="39"/>
      <c r="E185" s="44" t="s">
        <v>46</v>
      </c>
      <c r="G185" s="26">
        <v>783</v>
      </c>
      <c r="I185" s="3">
        <v>261</v>
      </c>
      <c r="L185" s="25">
        <f t="shared" si="10"/>
        <v>261</v>
      </c>
      <c r="N185" s="6" t="s">
        <v>14</v>
      </c>
      <c r="O185" s="6">
        <v>1</v>
      </c>
      <c r="P185"/>
      <c r="R185" s="71">
        <f>SUMIF(C177:C361,121,L177:L361)</f>
        <v>3953.67</v>
      </c>
      <c r="U185" s="48">
        <f>100+400+813</f>
        <v>1313</v>
      </c>
      <c r="V185" s="48">
        <f>100+400+813</f>
        <v>1313</v>
      </c>
    </row>
    <row r="186" spans="1:22" x14ac:dyDescent="0.2">
      <c r="A186">
        <v>100</v>
      </c>
      <c r="B186">
        <v>41130</v>
      </c>
      <c r="C186">
        <v>351</v>
      </c>
      <c r="D186" s="39"/>
      <c r="E186" s="44" t="s">
        <v>304</v>
      </c>
      <c r="G186" s="26"/>
      <c r="L186" s="25"/>
      <c r="N186" s="6" t="s">
        <v>14</v>
      </c>
      <c r="O186" s="6">
        <v>4</v>
      </c>
      <c r="P186"/>
      <c r="U186" s="48"/>
      <c r="V186" s="48"/>
    </row>
    <row r="187" spans="1:22" x14ac:dyDescent="0.2">
      <c r="D187" s="43" t="s">
        <v>305</v>
      </c>
      <c r="E187" s="44"/>
      <c r="G187" s="26"/>
      <c r="L187" s="25"/>
      <c r="P187"/>
      <c r="U187" s="48"/>
      <c r="V187" s="48"/>
    </row>
    <row r="188" spans="1:22" x14ac:dyDescent="0.2">
      <c r="A188">
        <v>100</v>
      </c>
      <c r="B188">
        <v>41410</v>
      </c>
      <c r="C188">
        <v>103</v>
      </c>
      <c r="D188" s="39"/>
      <c r="E188" s="42" t="s">
        <v>213</v>
      </c>
      <c r="G188" s="26">
        <v>0</v>
      </c>
      <c r="I188" s="3">
        <v>2923.3</v>
      </c>
      <c r="L188" s="25">
        <f t="shared" ref="L188:L195" si="11">SUM(I188:K188)</f>
        <v>2923.3</v>
      </c>
      <c r="N188" s="6" t="s">
        <v>14</v>
      </c>
      <c r="O188" s="6">
        <v>7</v>
      </c>
      <c r="P188"/>
      <c r="U188" s="48"/>
      <c r="V188" s="48">
        <v>3400</v>
      </c>
    </row>
    <row r="189" spans="1:22" x14ac:dyDescent="0.2">
      <c r="A189">
        <v>100</v>
      </c>
      <c r="B189">
        <v>41410</v>
      </c>
      <c r="C189">
        <v>108</v>
      </c>
      <c r="D189" s="39"/>
      <c r="E189" s="44" t="s">
        <v>215</v>
      </c>
      <c r="G189" s="26">
        <v>0</v>
      </c>
      <c r="I189" s="3">
        <v>45.93</v>
      </c>
      <c r="L189" s="25">
        <f t="shared" si="11"/>
        <v>45.93</v>
      </c>
      <c r="N189" s="6" t="s">
        <v>14</v>
      </c>
      <c r="O189" s="6">
        <v>7</v>
      </c>
      <c r="P189"/>
      <c r="U189" s="48"/>
      <c r="V189" s="48">
        <v>175</v>
      </c>
    </row>
    <row r="190" spans="1:22" x14ac:dyDescent="0.2">
      <c r="A190">
        <v>100</v>
      </c>
      <c r="B190">
        <v>41410</v>
      </c>
      <c r="C190">
        <v>113</v>
      </c>
      <c r="D190" s="39"/>
      <c r="E190" s="44" t="s">
        <v>216</v>
      </c>
      <c r="G190" s="26">
        <v>0</v>
      </c>
      <c r="I190" s="3">
        <v>196.29</v>
      </c>
      <c r="L190" s="25">
        <f t="shared" si="11"/>
        <v>196.29</v>
      </c>
      <c r="N190" s="6" t="s">
        <v>14</v>
      </c>
      <c r="O190" s="6">
        <v>7</v>
      </c>
      <c r="P190"/>
      <c r="U190" s="48"/>
      <c r="V190" s="48">
        <v>100</v>
      </c>
    </row>
    <row r="191" spans="1:22" x14ac:dyDescent="0.2">
      <c r="A191">
        <v>100</v>
      </c>
      <c r="B191">
        <v>41410</v>
      </c>
      <c r="C191">
        <v>122</v>
      </c>
      <c r="D191" s="39"/>
      <c r="E191" s="42" t="s">
        <v>218</v>
      </c>
      <c r="G191" s="26">
        <v>0</v>
      </c>
      <c r="I191" s="3">
        <v>196.29</v>
      </c>
      <c r="L191" s="25">
        <f t="shared" si="11"/>
        <v>196.29</v>
      </c>
      <c r="N191" s="6" t="s">
        <v>14</v>
      </c>
      <c r="O191" s="6">
        <v>7</v>
      </c>
      <c r="P191"/>
      <c r="U191" s="48"/>
      <c r="V191" s="48"/>
    </row>
    <row r="192" spans="1:22" x14ac:dyDescent="0.2">
      <c r="A192">
        <v>100</v>
      </c>
      <c r="B192">
        <v>41410</v>
      </c>
      <c r="C192">
        <v>135</v>
      </c>
      <c r="D192" s="39"/>
      <c r="E192" s="42" t="s">
        <v>219</v>
      </c>
      <c r="G192" s="26">
        <v>0</v>
      </c>
      <c r="I192" s="3">
        <v>45.94</v>
      </c>
      <c r="L192" s="25">
        <f t="shared" si="11"/>
        <v>45.94</v>
      </c>
      <c r="N192" s="6" t="s">
        <v>14</v>
      </c>
      <c r="O192" s="6">
        <v>7</v>
      </c>
      <c r="P192"/>
      <c r="U192" s="48"/>
      <c r="V192" s="48"/>
    </row>
    <row r="193" spans="1:22" x14ac:dyDescent="0.2">
      <c r="A193">
        <v>100</v>
      </c>
      <c r="B193">
        <v>41410</v>
      </c>
      <c r="C193">
        <v>208</v>
      </c>
      <c r="D193" s="39"/>
      <c r="E193" s="44" t="s">
        <v>91</v>
      </c>
      <c r="G193" s="26">
        <v>0</v>
      </c>
      <c r="I193" s="3">
        <v>327.20999999999998</v>
      </c>
      <c r="L193" s="25">
        <f t="shared" si="11"/>
        <v>327.20999999999998</v>
      </c>
      <c r="N193" s="6" t="s">
        <v>14</v>
      </c>
      <c r="O193" s="6">
        <v>7</v>
      </c>
      <c r="P193"/>
      <c r="U193" s="48"/>
      <c r="V193" s="48"/>
    </row>
    <row r="194" spans="1:22" x14ac:dyDescent="0.2">
      <c r="A194">
        <v>100</v>
      </c>
      <c r="B194">
        <v>41410</v>
      </c>
      <c r="C194">
        <v>310</v>
      </c>
      <c r="D194" s="39"/>
      <c r="E194" s="44" t="s">
        <v>211</v>
      </c>
      <c r="G194" s="26"/>
      <c r="I194" s="3">
        <v>44</v>
      </c>
      <c r="L194" s="25">
        <f t="shared" si="11"/>
        <v>44</v>
      </c>
      <c r="N194" s="6" t="s">
        <v>14</v>
      </c>
      <c r="O194" s="6">
        <v>7</v>
      </c>
      <c r="P194"/>
      <c r="U194" s="48"/>
      <c r="V194" s="48"/>
    </row>
    <row r="195" spans="1:22" x14ac:dyDescent="0.2">
      <c r="A195">
        <v>100</v>
      </c>
      <c r="B195">
        <v>41410</v>
      </c>
      <c r="C195">
        <v>331</v>
      </c>
      <c r="D195" s="39"/>
      <c r="E195" s="44" t="s">
        <v>146</v>
      </c>
      <c r="G195" s="26">
        <v>0</v>
      </c>
      <c r="I195" s="3">
        <v>259.56</v>
      </c>
      <c r="L195" s="25">
        <f t="shared" si="11"/>
        <v>259.56</v>
      </c>
      <c r="N195" s="6" t="s">
        <v>14</v>
      </c>
      <c r="O195" s="6">
        <v>7</v>
      </c>
      <c r="P195"/>
      <c r="U195" s="48"/>
      <c r="V195" s="48">
        <v>400</v>
      </c>
    </row>
    <row r="196" spans="1:22" x14ac:dyDescent="0.2">
      <c r="A196">
        <v>100</v>
      </c>
      <c r="B196">
        <v>41410</v>
      </c>
      <c r="D196" s="39"/>
      <c r="E196" s="44"/>
      <c r="G196" s="26"/>
      <c r="L196" s="25"/>
      <c r="P196"/>
      <c r="U196" s="48"/>
      <c r="V196" s="48"/>
    </row>
    <row r="197" spans="1:22" x14ac:dyDescent="0.2">
      <c r="D197" s="43" t="s">
        <v>83</v>
      </c>
      <c r="E197" s="24"/>
      <c r="G197" s="26"/>
      <c r="L197" s="25"/>
      <c r="P197"/>
      <c r="U197" s="48"/>
      <c r="V197" s="48"/>
    </row>
    <row r="198" spans="1:22" x14ac:dyDescent="0.2">
      <c r="A198">
        <v>100</v>
      </c>
      <c r="B198">
        <v>41425</v>
      </c>
      <c r="C198">
        <v>101</v>
      </c>
      <c r="D198" s="39"/>
      <c r="E198" s="42" t="s">
        <v>53</v>
      </c>
      <c r="G198" s="26">
        <v>23870.59</v>
      </c>
      <c r="I198" s="3">
        <v>25854.400000000001</v>
      </c>
      <c r="L198" s="25">
        <f t="shared" ref="L198:L223" si="12">SUM(I198:K198)</f>
        <v>25854.400000000001</v>
      </c>
      <c r="N198" s="6" t="s">
        <v>14</v>
      </c>
      <c r="O198" s="6">
        <v>2</v>
      </c>
      <c r="P198"/>
      <c r="U198" s="48">
        <v>28134</v>
      </c>
      <c r="V198" s="48">
        <v>28134</v>
      </c>
    </row>
    <row r="199" spans="1:22" x14ac:dyDescent="0.2">
      <c r="A199">
        <v>100</v>
      </c>
      <c r="B199">
        <v>41425</v>
      </c>
      <c r="C199">
        <v>103</v>
      </c>
      <c r="D199" s="39"/>
      <c r="E199" s="42" t="s">
        <v>213</v>
      </c>
      <c r="G199" s="26">
        <v>1325.51</v>
      </c>
      <c r="I199" s="3">
        <v>1947.69</v>
      </c>
      <c r="L199" s="25">
        <f t="shared" si="12"/>
        <v>1947.69</v>
      </c>
      <c r="N199" s="6" t="s">
        <v>14</v>
      </c>
      <c r="O199" s="6">
        <v>2</v>
      </c>
      <c r="P199"/>
      <c r="U199" s="48">
        <v>13000</v>
      </c>
      <c r="V199" s="48">
        <v>13000</v>
      </c>
    </row>
    <row r="200" spans="1:22" x14ac:dyDescent="0.2">
      <c r="A200">
        <v>100</v>
      </c>
      <c r="B200">
        <v>41425</v>
      </c>
      <c r="C200">
        <v>106</v>
      </c>
      <c r="D200" s="39"/>
      <c r="E200" s="42" t="s">
        <v>98</v>
      </c>
      <c r="G200" s="26">
        <v>1745.72</v>
      </c>
      <c r="I200" s="3">
        <v>1872.26</v>
      </c>
      <c r="L200" s="25">
        <f t="shared" si="12"/>
        <v>1872.26</v>
      </c>
      <c r="N200" s="6" t="s">
        <v>14</v>
      </c>
      <c r="O200" s="6">
        <v>2</v>
      </c>
      <c r="P200"/>
      <c r="U200" s="48">
        <v>1800</v>
      </c>
      <c r="V200" s="48">
        <v>1800</v>
      </c>
    </row>
    <row r="201" spans="1:22" x14ac:dyDescent="0.2">
      <c r="A201">
        <v>100</v>
      </c>
      <c r="B201">
        <v>41425</v>
      </c>
      <c r="C201">
        <v>107</v>
      </c>
      <c r="D201" s="39"/>
      <c r="E201" s="42" t="s">
        <v>214</v>
      </c>
      <c r="G201" s="26">
        <v>2054.5</v>
      </c>
      <c r="I201" s="3">
        <v>2230.19</v>
      </c>
      <c r="L201" s="25">
        <f t="shared" si="12"/>
        <v>2230.19</v>
      </c>
      <c r="N201" s="6" t="s">
        <v>14</v>
      </c>
      <c r="O201" s="6">
        <v>2</v>
      </c>
      <c r="P201"/>
      <c r="U201" s="48">
        <v>2340</v>
      </c>
      <c r="V201" s="48">
        <v>2340</v>
      </c>
    </row>
    <row r="202" spans="1:22" x14ac:dyDescent="0.2">
      <c r="A202">
        <v>100</v>
      </c>
      <c r="B202">
        <v>41425</v>
      </c>
      <c r="C202">
        <v>108</v>
      </c>
      <c r="D202" s="39"/>
      <c r="E202" s="42" t="s">
        <v>215</v>
      </c>
      <c r="G202" s="26">
        <v>470.11</v>
      </c>
      <c r="I202" s="3">
        <v>452.29</v>
      </c>
      <c r="L202" s="25">
        <f t="shared" si="12"/>
        <v>452.29</v>
      </c>
      <c r="N202" s="6" t="s">
        <v>14</v>
      </c>
      <c r="O202" s="6">
        <v>2</v>
      </c>
      <c r="P202"/>
      <c r="U202" s="48">
        <v>522</v>
      </c>
      <c r="V202" s="48">
        <v>522</v>
      </c>
    </row>
    <row r="203" spans="1:22" x14ac:dyDescent="0.2">
      <c r="A203">
        <v>100</v>
      </c>
      <c r="B203">
        <v>41425</v>
      </c>
      <c r="C203">
        <v>113</v>
      </c>
      <c r="D203" s="39"/>
      <c r="E203" s="42" t="s">
        <v>216</v>
      </c>
      <c r="G203" s="26">
        <v>2010.11</v>
      </c>
      <c r="I203" s="3">
        <v>1931.88</v>
      </c>
      <c r="L203" s="25">
        <f t="shared" si="12"/>
        <v>1931.88</v>
      </c>
      <c r="N203" s="6" t="s">
        <v>14</v>
      </c>
      <c r="O203" s="6">
        <v>2</v>
      </c>
      <c r="P203"/>
      <c r="U203" s="48">
        <v>2232</v>
      </c>
      <c r="V203" s="48">
        <v>2232</v>
      </c>
    </row>
    <row r="204" spans="1:22" x14ac:dyDescent="0.2">
      <c r="A204">
        <v>100</v>
      </c>
      <c r="B204">
        <v>41425</v>
      </c>
      <c r="C204">
        <v>121</v>
      </c>
      <c r="D204" s="39"/>
      <c r="E204" s="42" t="s">
        <v>217</v>
      </c>
      <c r="G204" s="26">
        <v>2398.0700000000002</v>
      </c>
      <c r="I204" s="3">
        <v>2573.3000000000002</v>
      </c>
      <c r="L204" s="25">
        <f t="shared" si="12"/>
        <v>2573.3000000000002</v>
      </c>
      <c r="N204" s="6" t="s">
        <v>14</v>
      </c>
      <c r="O204" s="6">
        <v>2</v>
      </c>
      <c r="P204"/>
      <c r="U204" s="48">
        <v>2700</v>
      </c>
      <c r="V204" s="48">
        <v>2700</v>
      </c>
    </row>
    <row r="205" spans="1:22" x14ac:dyDescent="0.2">
      <c r="A205">
        <v>100</v>
      </c>
      <c r="B205">
        <v>41425</v>
      </c>
      <c r="C205">
        <v>122</v>
      </c>
      <c r="D205" s="39"/>
      <c r="E205" s="42" t="s">
        <v>218</v>
      </c>
      <c r="G205" s="26">
        <v>2010.06</v>
      </c>
      <c r="I205" s="3">
        <v>1931.87</v>
      </c>
      <c r="L205" s="25">
        <f t="shared" si="12"/>
        <v>1931.87</v>
      </c>
      <c r="N205" s="6" t="s">
        <v>14</v>
      </c>
      <c r="O205" s="6">
        <v>2</v>
      </c>
      <c r="P205"/>
      <c r="U205" s="48">
        <v>2232</v>
      </c>
      <c r="V205" s="48">
        <v>2232</v>
      </c>
    </row>
    <row r="206" spans="1:22" x14ac:dyDescent="0.2">
      <c r="A206">
        <v>100</v>
      </c>
      <c r="B206">
        <v>41425</v>
      </c>
      <c r="C206">
        <v>135</v>
      </c>
      <c r="D206" s="39"/>
      <c r="E206" s="42" t="s">
        <v>219</v>
      </c>
      <c r="G206" s="26">
        <v>470.1</v>
      </c>
      <c r="I206" s="3">
        <v>452.29</v>
      </c>
      <c r="L206" s="25">
        <f t="shared" si="12"/>
        <v>452.29</v>
      </c>
      <c r="N206" s="6" t="s">
        <v>14</v>
      </c>
      <c r="O206" s="6">
        <v>2</v>
      </c>
      <c r="P206"/>
      <c r="U206" s="48">
        <v>522</v>
      </c>
      <c r="V206" s="48">
        <v>522</v>
      </c>
    </row>
    <row r="207" spans="1:22" x14ac:dyDescent="0.2">
      <c r="A207">
        <v>100</v>
      </c>
      <c r="B207">
        <v>41425</v>
      </c>
      <c r="C207">
        <v>172</v>
      </c>
      <c r="D207" s="39"/>
      <c r="E207" s="42" t="s">
        <v>220</v>
      </c>
      <c r="G207" s="26">
        <v>1142.6500000000001</v>
      </c>
      <c r="I207" s="3">
        <v>1249.4100000000001</v>
      </c>
      <c r="L207" s="25">
        <f t="shared" si="12"/>
        <v>1249.4100000000001</v>
      </c>
      <c r="N207" s="6" t="s">
        <v>14</v>
      </c>
      <c r="O207" s="6">
        <v>2</v>
      </c>
      <c r="P207"/>
      <c r="U207" s="48">
        <v>972</v>
      </c>
      <c r="V207" s="48">
        <v>972</v>
      </c>
    </row>
    <row r="208" spans="1:22" x14ac:dyDescent="0.2">
      <c r="A208">
        <v>100</v>
      </c>
      <c r="B208">
        <v>41425</v>
      </c>
      <c r="C208">
        <v>208</v>
      </c>
      <c r="D208" s="39"/>
      <c r="E208" s="42" t="s">
        <v>91</v>
      </c>
      <c r="G208" s="26">
        <v>1273.1099999999999</v>
      </c>
      <c r="H208" s="4" t="s">
        <v>381</v>
      </c>
      <c r="I208" s="3">
        <v>2270.34</v>
      </c>
      <c r="J208" s="3">
        <f>-600-747.37</f>
        <v>-1347.37</v>
      </c>
      <c r="K208" s="3">
        <v>1085.8599999999999</v>
      </c>
      <c r="L208" s="25">
        <f>SUM(I208:K208)</f>
        <v>2008.8300000000002</v>
      </c>
      <c r="N208" s="6" t="s">
        <v>14</v>
      </c>
      <c r="O208" s="6">
        <v>2</v>
      </c>
      <c r="P208"/>
      <c r="U208" s="48">
        <v>750</v>
      </c>
      <c r="V208" s="48">
        <v>750</v>
      </c>
    </row>
    <row r="209" spans="1:22" x14ac:dyDescent="0.2">
      <c r="A209">
        <v>100</v>
      </c>
      <c r="B209">
        <v>41425</v>
      </c>
      <c r="C209">
        <v>301</v>
      </c>
      <c r="D209" s="39"/>
      <c r="E209" s="42" t="s">
        <v>221</v>
      </c>
      <c r="G209" s="26">
        <v>17537.5</v>
      </c>
      <c r="I209" s="3">
        <v>10575.6</v>
      </c>
      <c r="L209" s="25">
        <f t="shared" si="12"/>
        <v>10575.6</v>
      </c>
      <c r="N209" s="6" t="s">
        <v>14</v>
      </c>
      <c r="O209" s="6">
        <v>3</v>
      </c>
      <c r="P209"/>
      <c r="U209" s="48">
        <v>10500</v>
      </c>
      <c r="V209" s="48">
        <v>10500</v>
      </c>
    </row>
    <row r="210" spans="1:22" x14ac:dyDescent="0.2">
      <c r="A210">
        <v>100</v>
      </c>
      <c r="B210">
        <v>41425</v>
      </c>
      <c r="C210">
        <v>304</v>
      </c>
      <c r="D210" s="39"/>
      <c r="E210" s="42" t="s">
        <v>152</v>
      </c>
      <c r="G210" s="26">
        <v>0</v>
      </c>
      <c r="L210" s="25">
        <f t="shared" si="12"/>
        <v>0</v>
      </c>
      <c r="N210" s="6" t="s">
        <v>14</v>
      </c>
      <c r="O210" s="6">
        <v>4</v>
      </c>
      <c r="P210"/>
      <c r="U210" s="48">
        <v>0</v>
      </c>
      <c r="V210" s="48">
        <v>0</v>
      </c>
    </row>
    <row r="211" spans="1:22" x14ac:dyDescent="0.2">
      <c r="A211">
        <v>100</v>
      </c>
      <c r="B211">
        <v>41425</v>
      </c>
      <c r="C211">
        <v>309</v>
      </c>
      <c r="D211" s="39"/>
      <c r="E211" s="42" t="s">
        <v>78</v>
      </c>
      <c r="G211" s="26">
        <v>1264.51</v>
      </c>
      <c r="I211" s="3">
        <v>1138.29</v>
      </c>
      <c r="L211" s="25">
        <f t="shared" si="12"/>
        <v>1138.29</v>
      </c>
      <c r="N211" s="6" t="s">
        <v>14</v>
      </c>
      <c r="O211" s="6">
        <v>2</v>
      </c>
      <c r="P211"/>
      <c r="U211" s="48">
        <v>665</v>
      </c>
      <c r="V211" s="48">
        <v>665</v>
      </c>
    </row>
    <row r="212" spans="1:22" x14ac:dyDescent="0.2">
      <c r="A212">
        <v>100</v>
      </c>
      <c r="B212">
        <v>41425</v>
      </c>
      <c r="C212">
        <v>310</v>
      </c>
      <c r="D212" s="39"/>
      <c r="E212" s="42" t="s">
        <v>211</v>
      </c>
      <c r="G212" s="26">
        <v>549.78</v>
      </c>
      <c r="I212" s="3">
        <v>222.25</v>
      </c>
      <c r="L212" s="25">
        <f t="shared" si="12"/>
        <v>222.25</v>
      </c>
      <c r="N212" s="6" t="s">
        <v>14</v>
      </c>
      <c r="O212" s="6">
        <v>2</v>
      </c>
      <c r="P212"/>
      <c r="U212" s="48">
        <v>500</v>
      </c>
      <c r="V212" s="48">
        <v>500</v>
      </c>
    </row>
    <row r="213" spans="1:22" x14ac:dyDescent="0.2">
      <c r="A213">
        <v>100</v>
      </c>
      <c r="B213">
        <v>41425</v>
      </c>
      <c r="C213">
        <v>321</v>
      </c>
      <c r="D213" s="39"/>
      <c r="E213" s="42" t="s">
        <v>222</v>
      </c>
      <c r="G213" s="26">
        <v>586.32000000000005</v>
      </c>
      <c r="I213" s="3">
        <v>275.60000000000002</v>
      </c>
      <c r="L213" s="25">
        <f t="shared" si="12"/>
        <v>275.60000000000002</v>
      </c>
      <c r="N213" s="6" t="s">
        <v>14</v>
      </c>
      <c r="O213" s="6">
        <v>2</v>
      </c>
      <c r="P213"/>
      <c r="U213" s="48">
        <v>550</v>
      </c>
      <c r="V213" s="48">
        <v>550</v>
      </c>
    </row>
    <row r="214" spans="1:22" x14ac:dyDescent="0.2">
      <c r="A214">
        <v>100</v>
      </c>
      <c r="B214">
        <v>41425</v>
      </c>
      <c r="C214">
        <v>322</v>
      </c>
      <c r="D214" s="39"/>
      <c r="E214" s="42" t="s">
        <v>223</v>
      </c>
      <c r="G214" s="26">
        <v>266.79000000000002</v>
      </c>
      <c r="I214" s="3">
        <v>263.55</v>
      </c>
      <c r="L214" s="25">
        <f t="shared" si="12"/>
        <v>263.55</v>
      </c>
      <c r="N214" s="6" t="s">
        <v>14</v>
      </c>
      <c r="O214" s="6">
        <v>2</v>
      </c>
      <c r="P214"/>
      <c r="U214" s="48">
        <v>425</v>
      </c>
      <c r="V214" s="48">
        <v>300</v>
      </c>
    </row>
    <row r="215" spans="1:22" x14ac:dyDescent="0.2">
      <c r="A215">
        <v>100</v>
      </c>
      <c r="B215">
        <v>41425</v>
      </c>
      <c r="C215">
        <v>325</v>
      </c>
      <c r="D215" s="39"/>
      <c r="E215" s="42" t="s">
        <v>351</v>
      </c>
      <c r="G215" s="26">
        <v>0</v>
      </c>
      <c r="I215" s="3">
        <v>0</v>
      </c>
      <c r="L215" s="25">
        <f t="shared" si="12"/>
        <v>0</v>
      </c>
      <c r="N215" s="6" t="s">
        <v>14</v>
      </c>
      <c r="O215" s="6">
        <v>2</v>
      </c>
      <c r="P215"/>
      <c r="U215" s="48">
        <v>300</v>
      </c>
      <c r="V215" s="48">
        <v>300</v>
      </c>
    </row>
    <row r="216" spans="1:22" x14ac:dyDescent="0.2">
      <c r="A216">
        <v>100</v>
      </c>
      <c r="B216">
        <v>41425</v>
      </c>
      <c r="C216">
        <v>331</v>
      </c>
      <c r="D216" s="39"/>
      <c r="E216" s="42" t="s">
        <v>146</v>
      </c>
      <c r="G216" s="26">
        <v>385.14</v>
      </c>
      <c r="I216" s="3">
        <v>116.66</v>
      </c>
      <c r="L216" s="25">
        <f t="shared" si="12"/>
        <v>116.66</v>
      </c>
      <c r="N216" s="6" t="s">
        <v>14</v>
      </c>
      <c r="O216" s="6">
        <v>2</v>
      </c>
      <c r="P216"/>
      <c r="U216" s="48">
        <v>300</v>
      </c>
      <c r="V216" s="48">
        <v>300</v>
      </c>
    </row>
    <row r="217" spans="1:22" x14ac:dyDescent="0.2">
      <c r="A217">
        <v>100</v>
      </c>
      <c r="B217">
        <v>41425</v>
      </c>
      <c r="C217">
        <v>334</v>
      </c>
      <c r="D217" s="39"/>
      <c r="E217" s="42" t="s">
        <v>224</v>
      </c>
      <c r="G217" s="26">
        <v>500</v>
      </c>
      <c r="I217" s="3">
        <v>119.26</v>
      </c>
      <c r="L217" s="25">
        <f t="shared" si="12"/>
        <v>119.26</v>
      </c>
      <c r="N217" s="6" t="s">
        <v>14</v>
      </c>
      <c r="O217" s="6">
        <v>2</v>
      </c>
      <c r="P217"/>
      <c r="U217" s="48">
        <v>300</v>
      </c>
      <c r="V217" s="48">
        <v>300</v>
      </c>
    </row>
    <row r="218" spans="1:22" x14ac:dyDescent="0.2">
      <c r="A218">
        <v>100</v>
      </c>
      <c r="B218">
        <v>41425</v>
      </c>
      <c r="C218">
        <v>351</v>
      </c>
      <c r="D218" s="39"/>
      <c r="E218" s="42" t="s">
        <v>376</v>
      </c>
      <c r="G218" s="26">
        <v>52.91</v>
      </c>
      <c r="I218" s="3">
        <v>34.83</v>
      </c>
      <c r="L218" s="25">
        <f t="shared" si="12"/>
        <v>34.83</v>
      </c>
      <c r="N218" s="6" t="s">
        <v>14</v>
      </c>
      <c r="O218" s="6">
        <v>2</v>
      </c>
      <c r="P218"/>
      <c r="U218" s="48">
        <v>300</v>
      </c>
      <c r="V218" s="48">
        <v>300</v>
      </c>
    </row>
    <row r="219" spans="1:22" x14ac:dyDescent="0.2">
      <c r="A219">
        <v>100</v>
      </c>
      <c r="B219">
        <v>41425</v>
      </c>
      <c r="C219">
        <v>352</v>
      </c>
      <c r="D219" s="39"/>
      <c r="E219" s="42" t="s">
        <v>225</v>
      </c>
      <c r="G219" s="26">
        <v>50.33</v>
      </c>
      <c r="I219" s="3">
        <v>50.84</v>
      </c>
      <c r="L219" s="25">
        <f t="shared" si="12"/>
        <v>50.84</v>
      </c>
      <c r="N219" s="6" t="s">
        <v>14</v>
      </c>
      <c r="O219" s="6">
        <v>2</v>
      </c>
      <c r="P219"/>
      <c r="U219" s="48">
        <v>200</v>
      </c>
      <c r="V219" s="48">
        <v>200</v>
      </c>
    </row>
    <row r="220" spans="1:22" x14ac:dyDescent="0.2">
      <c r="A220">
        <v>100</v>
      </c>
      <c r="B220">
        <v>41425</v>
      </c>
      <c r="C220">
        <v>365</v>
      </c>
      <c r="D220" s="39"/>
      <c r="E220" s="42" t="s">
        <v>226</v>
      </c>
      <c r="G220" s="26">
        <v>236</v>
      </c>
      <c r="I220" s="3">
        <v>236</v>
      </c>
      <c r="L220" s="25">
        <f t="shared" si="12"/>
        <v>236</v>
      </c>
      <c r="N220" s="6" t="s">
        <v>14</v>
      </c>
      <c r="O220" s="6">
        <v>2</v>
      </c>
      <c r="P220"/>
      <c r="U220" s="48">
        <v>175</v>
      </c>
      <c r="V220" s="48">
        <v>185</v>
      </c>
    </row>
    <row r="221" spans="1:22" x14ac:dyDescent="0.2">
      <c r="A221">
        <v>100</v>
      </c>
      <c r="B221">
        <v>41425</v>
      </c>
      <c r="C221">
        <v>433</v>
      </c>
      <c r="D221" s="39"/>
      <c r="E221" s="42" t="s">
        <v>227</v>
      </c>
      <c r="G221" s="26">
        <v>394.1</v>
      </c>
      <c r="I221" s="3">
        <v>541</v>
      </c>
      <c r="L221" s="25">
        <f t="shared" si="12"/>
        <v>541</v>
      </c>
      <c r="N221" s="6" t="s">
        <v>14</v>
      </c>
      <c r="O221" s="6">
        <v>2</v>
      </c>
      <c r="P221"/>
      <c r="U221" s="48">
        <v>0</v>
      </c>
      <c r="V221" s="48">
        <v>700</v>
      </c>
    </row>
    <row r="222" spans="1:22" x14ac:dyDescent="0.2">
      <c r="A222">
        <v>100</v>
      </c>
      <c r="B222">
        <v>41425</v>
      </c>
      <c r="C222">
        <v>437</v>
      </c>
      <c r="D222" s="39"/>
      <c r="E222" s="42" t="s">
        <v>46</v>
      </c>
      <c r="G222" s="26">
        <v>0</v>
      </c>
      <c r="L222" s="25">
        <f t="shared" si="12"/>
        <v>0</v>
      </c>
      <c r="N222" s="6" t="s">
        <v>14</v>
      </c>
      <c r="O222" s="6">
        <v>2</v>
      </c>
      <c r="P222"/>
      <c r="U222" s="48">
        <v>0</v>
      </c>
      <c r="V222" s="48">
        <v>0</v>
      </c>
    </row>
    <row r="223" spans="1:22" x14ac:dyDescent="0.2">
      <c r="A223">
        <v>100</v>
      </c>
      <c r="B223">
        <v>41425</v>
      </c>
      <c r="C223">
        <v>570</v>
      </c>
      <c r="D223" s="39"/>
      <c r="E223" s="42" t="s">
        <v>56</v>
      </c>
      <c r="G223" s="26">
        <v>0</v>
      </c>
      <c r="H223" s="4" t="s">
        <v>382</v>
      </c>
      <c r="I223" s="3">
        <v>1085.8599999999999</v>
      </c>
      <c r="J223" s="3">
        <v>-1085.8599999999999</v>
      </c>
      <c r="L223" s="25">
        <f t="shared" si="12"/>
        <v>0</v>
      </c>
      <c r="N223" s="6" t="s">
        <v>14</v>
      </c>
      <c r="O223" s="6">
        <v>6</v>
      </c>
      <c r="P223"/>
      <c r="U223" s="48">
        <v>3500</v>
      </c>
      <c r="V223" s="48">
        <v>3500</v>
      </c>
    </row>
    <row r="224" spans="1:22" ht="25.9" customHeight="1" x14ac:dyDescent="0.2">
      <c r="D224" s="43" t="s">
        <v>228</v>
      </c>
      <c r="E224" s="42"/>
      <c r="G224" s="26"/>
      <c r="L224" s="25"/>
      <c r="P224"/>
      <c r="U224" s="48"/>
      <c r="V224" s="48"/>
    </row>
    <row r="225" spans="1:22" x14ac:dyDescent="0.2">
      <c r="A225">
        <v>100</v>
      </c>
      <c r="B225">
        <v>41550</v>
      </c>
      <c r="C225">
        <v>312</v>
      </c>
      <c r="D225" s="39"/>
      <c r="E225" s="42" t="s">
        <v>229</v>
      </c>
      <c r="G225" s="26">
        <v>2328</v>
      </c>
      <c r="I225" s="3">
        <v>2320</v>
      </c>
      <c r="L225" s="25">
        <f t="shared" ref="L225:L231" si="13">SUM(I225:K225)</f>
        <v>2320</v>
      </c>
      <c r="N225" s="6" t="s">
        <v>14</v>
      </c>
      <c r="O225" s="6">
        <v>5</v>
      </c>
      <c r="P225"/>
      <c r="U225" s="48">
        <v>2400</v>
      </c>
      <c r="V225" s="48">
        <v>2400</v>
      </c>
    </row>
    <row r="226" spans="1:22" x14ac:dyDescent="0.2">
      <c r="D226" s="43" t="s">
        <v>230</v>
      </c>
      <c r="G226" s="26"/>
      <c r="L226" s="25"/>
      <c r="P226"/>
      <c r="U226" s="48"/>
      <c r="V226" s="48"/>
    </row>
    <row r="227" spans="1:22" x14ac:dyDescent="0.2">
      <c r="A227">
        <v>100</v>
      </c>
      <c r="B227">
        <v>41801</v>
      </c>
      <c r="C227">
        <v>304</v>
      </c>
      <c r="D227" s="45"/>
      <c r="E227" t="s">
        <v>231</v>
      </c>
      <c r="G227" s="26">
        <v>600</v>
      </c>
      <c r="I227" s="3">
        <v>1055</v>
      </c>
      <c r="L227" s="25">
        <f t="shared" si="13"/>
        <v>1055</v>
      </c>
      <c r="N227" s="6" t="s">
        <v>14</v>
      </c>
      <c r="O227" s="6">
        <v>3</v>
      </c>
      <c r="P227"/>
      <c r="U227" s="48">
        <v>1500</v>
      </c>
      <c r="V227" s="48">
        <v>1500</v>
      </c>
    </row>
    <row r="228" spans="1:22" x14ac:dyDescent="0.2">
      <c r="D228" s="45"/>
      <c r="G228" s="26"/>
      <c r="L228" s="25"/>
      <c r="P228"/>
      <c r="U228" s="48"/>
      <c r="V228" s="48"/>
    </row>
    <row r="229" spans="1:22" x14ac:dyDescent="0.2">
      <c r="D229" s="45"/>
      <c r="G229" s="26"/>
      <c r="L229" s="25"/>
      <c r="P229"/>
      <c r="U229" s="48"/>
      <c r="V229" s="48"/>
    </row>
    <row r="230" spans="1:22" x14ac:dyDescent="0.2">
      <c r="D230" s="43" t="s">
        <v>54</v>
      </c>
      <c r="E230" s="24"/>
      <c r="G230" s="26"/>
      <c r="L230" s="25"/>
      <c r="P230"/>
      <c r="U230" s="48"/>
      <c r="V230" s="48"/>
    </row>
    <row r="231" spans="1:22" x14ac:dyDescent="0.2">
      <c r="A231">
        <v>100</v>
      </c>
      <c r="B231">
        <v>41911</v>
      </c>
      <c r="C231">
        <v>103</v>
      </c>
      <c r="D231" s="43"/>
      <c r="E231" s="42" t="s">
        <v>213</v>
      </c>
      <c r="G231" s="26">
        <v>855.37</v>
      </c>
      <c r="I231" s="3">
        <v>1196.83</v>
      </c>
      <c r="L231" s="25">
        <f t="shared" si="13"/>
        <v>1196.83</v>
      </c>
      <c r="N231" s="6" t="s">
        <v>14</v>
      </c>
      <c r="O231" s="6">
        <v>5</v>
      </c>
      <c r="P231"/>
      <c r="U231" s="48">
        <v>1500</v>
      </c>
      <c r="V231" s="48">
        <v>2000</v>
      </c>
    </row>
    <row r="232" spans="1:22" x14ac:dyDescent="0.2">
      <c r="A232">
        <v>100</v>
      </c>
      <c r="B232">
        <v>41911</v>
      </c>
      <c r="C232">
        <v>108</v>
      </c>
      <c r="D232" s="43"/>
      <c r="E232" s="42" t="s">
        <v>215</v>
      </c>
      <c r="G232" s="26">
        <v>12.08</v>
      </c>
      <c r="I232" s="3">
        <v>21.07</v>
      </c>
      <c r="L232" s="25">
        <f t="shared" ref="L232:L242" si="14">SUM(I232:K232)</f>
        <v>21.07</v>
      </c>
      <c r="N232" s="6" t="s">
        <v>14</v>
      </c>
      <c r="O232" s="6">
        <v>5</v>
      </c>
      <c r="P232"/>
      <c r="U232" s="48">
        <v>21.75</v>
      </c>
      <c r="V232" s="48">
        <v>21.75</v>
      </c>
    </row>
    <row r="233" spans="1:22" x14ac:dyDescent="0.2">
      <c r="A233">
        <v>100</v>
      </c>
      <c r="B233">
        <v>41911</v>
      </c>
      <c r="C233">
        <v>113</v>
      </c>
      <c r="D233" s="39"/>
      <c r="E233" s="42" t="s">
        <v>216</v>
      </c>
      <c r="G233" s="26">
        <v>51.62</v>
      </c>
      <c r="I233" s="3">
        <v>90.01</v>
      </c>
      <c r="L233" s="25">
        <f t="shared" si="14"/>
        <v>90.01</v>
      </c>
      <c r="N233" s="6" t="s">
        <v>14</v>
      </c>
      <c r="O233" s="6">
        <v>5</v>
      </c>
      <c r="P233"/>
      <c r="U233" s="48">
        <v>93</v>
      </c>
      <c r="V233" s="48">
        <v>93</v>
      </c>
    </row>
    <row r="234" spans="1:22" x14ac:dyDescent="0.2">
      <c r="A234">
        <v>100</v>
      </c>
      <c r="B234">
        <v>41911</v>
      </c>
      <c r="C234">
        <v>122</v>
      </c>
      <c r="D234" s="39"/>
      <c r="E234" s="42" t="s">
        <v>218</v>
      </c>
      <c r="G234" s="26">
        <v>51.62</v>
      </c>
      <c r="I234" s="3">
        <v>90.01</v>
      </c>
      <c r="L234" s="25">
        <f t="shared" si="14"/>
        <v>90.01</v>
      </c>
      <c r="N234" s="6" t="s">
        <v>14</v>
      </c>
      <c r="O234" s="6">
        <v>5</v>
      </c>
      <c r="P234"/>
      <c r="U234" s="48">
        <v>93</v>
      </c>
      <c r="V234" s="48">
        <v>93</v>
      </c>
    </row>
    <row r="235" spans="1:22" x14ac:dyDescent="0.2">
      <c r="A235">
        <v>100</v>
      </c>
      <c r="B235">
        <v>41911</v>
      </c>
      <c r="C235">
        <v>135</v>
      </c>
      <c r="D235" s="39"/>
      <c r="E235" s="42" t="s">
        <v>219</v>
      </c>
      <c r="G235" s="26">
        <v>12.08</v>
      </c>
      <c r="I235" s="3">
        <v>21.07</v>
      </c>
      <c r="L235" s="25">
        <f t="shared" si="14"/>
        <v>21.07</v>
      </c>
      <c r="N235" s="6" t="s">
        <v>14</v>
      </c>
      <c r="O235" s="6">
        <v>5</v>
      </c>
      <c r="P235"/>
      <c r="U235" s="48">
        <v>21.75</v>
      </c>
      <c r="V235" s="48">
        <v>21.75</v>
      </c>
    </row>
    <row r="236" spans="1:22" x14ac:dyDescent="0.2">
      <c r="A236">
        <v>100</v>
      </c>
      <c r="B236">
        <v>41911</v>
      </c>
      <c r="C236">
        <v>141</v>
      </c>
      <c r="D236" s="39"/>
      <c r="E236" s="44" t="s">
        <v>233</v>
      </c>
      <c r="G236" s="26">
        <v>320</v>
      </c>
      <c r="I236" s="3">
        <v>389</v>
      </c>
      <c r="L236" s="25">
        <f t="shared" si="14"/>
        <v>389</v>
      </c>
      <c r="N236" s="6" t="s">
        <v>14</v>
      </c>
      <c r="O236" s="6">
        <v>5</v>
      </c>
      <c r="P236"/>
      <c r="U236" s="48">
        <v>200</v>
      </c>
      <c r="V236" s="48">
        <v>400</v>
      </c>
    </row>
    <row r="237" spans="1:22" x14ac:dyDescent="0.2">
      <c r="A237">
        <v>100</v>
      </c>
      <c r="B237">
        <v>41911</v>
      </c>
      <c r="C237">
        <v>303</v>
      </c>
      <c r="D237" s="39"/>
      <c r="E237" s="44" t="s">
        <v>149</v>
      </c>
      <c r="G237" s="26">
        <v>27499.25</v>
      </c>
      <c r="I237" s="3">
        <v>1114</v>
      </c>
      <c r="L237" s="25">
        <f t="shared" si="14"/>
        <v>1114</v>
      </c>
      <c r="N237" s="6" t="s">
        <v>14</v>
      </c>
      <c r="O237" s="6">
        <v>5</v>
      </c>
      <c r="P237"/>
      <c r="U237" s="48">
        <v>25000</v>
      </c>
      <c r="V237" s="48">
        <v>35000</v>
      </c>
    </row>
    <row r="238" spans="1:22" x14ac:dyDescent="0.2">
      <c r="A238">
        <v>100</v>
      </c>
      <c r="B238">
        <v>41911</v>
      </c>
      <c r="C238">
        <v>304</v>
      </c>
      <c r="D238" s="39"/>
      <c r="E238" s="44" t="s">
        <v>152</v>
      </c>
      <c r="G238" s="26">
        <v>6427.5</v>
      </c>
      <c r="I238" s="3">
        <v>4837</v>
      </c>
      <c r="L238" s="25">
        <f t="shared" si="14"/>
        <v>4837</v>
      </c>
      <c r="N238" s="6" t="s">
        <v>14</v>
      </c>
      <c r="O238" s="6">
        <v>4</v>
      </c>
      <c r="P238"/>
      <c r="U238" s="48">
        <v>10000</v>
      </c>
      <c r="V238" s="48">
        <v>10000</v>
      </c>
    </row>
    <row r="239" spans="1:22" x14ac:dyDescent="0.2">
      <c r="A239">
        <v>100</v>
      </c>
      <c r="B239">
        <v>41911</v>
      </c>
      <c r="C239">
        <v>308</v>
      </c>
      <c r="D239" s="39"/>
      <c r="E239" s="44" t="s">
        <v>78</v>
      </c>
      <c r="G239" s="26">
        <v>0</v>
      </c>
      <c r="L239" s="25">
        <f t="shared" si="14"/>
        <v>0</v>
      </c>
      <c r="N239" s="6" t="s">
        <v>14</v>
      </c>
      <c r="O239" s="6">
        <v>5</v>
      </c>
      <c r="P239"/>
      <c r="U239" s="48">
        <v>5000</v>
      </c>
      <c r="V239" s="48">
        <v>2500</v>
      </c>
    </row>
    <row r="240" spans="1:22" x14ac:dyDescent="0.2">
      <c r="A240">
        <v>100</v>
      </c>
      <c r="B240">
        <v>41911</v>
      </c>
      <c r="C240">
        <v>366</v>
      </c>
      <c r="D240" s="39"/>
      <c r="E240" s="44" t="s">
        <v>77</v>
      </c>
      <c r="G240" s="26">
        <v>5780</v>
      </c>
      <c r="I240" s="3">
        <v>5780</v>
      </c>
      <c r="L240" s="25">
        <f t="shared" si="14"/>
        <v>5780</v>
      </c>
      <c r="N240" s="6" t="s">
        <v>14</v>
      </c>
      <c r="O240" s="6">
        <v>5</v>
      </c>
      <c r="P240"/>
      <c r="U240" s="48">
        <v>4738</v>
      </c>
      <c r="V240" s="48">
        <v>5780</v>
      </c>
    </row>
    <row r="241" spans="1:22" x14ac:dyDescent="0.2">
      <c r="A241">
        <v>100</v>
      </c>
      <c r="B241">
        <v>41911</v>
      </c>
      <c r="C241">
        <v>384</v>
      </c>
      <c r="D241" s="39"/>
      <c r="E241" s="44" t="s">
        <v>232</v>
      </c>
      <c r="G241" s="26">
        <v>263.25</v>
      </c>
      <c r="I241" s="3">
        <v>759.5</v>
      </c>
      <c r="L241" s="25">
        <f t="shared" si="14"/>
        <v>759.5</v>
      </c>
      <c r="N241" s="6" t="s">
        <v>14</v>
      </c>
      <c r="O241" s="6">
        <v>5</v>
      </c>
      <c r="P241"/>
      <c r="U241" s="48">
        <v>0</v>
      </c>
      <c r="V241" s="48">
        <v>250</v>
      </c>
    </row>
    <row r="242" spans="1:22" x14ac:dyDescent="0.2">
      <c r="A242">
        <v>100</v>
      </c>
      <c r="B242">
        <v>41911</v>
      </c>
      <c r="C242">
        <v>437</v>
      </c>
      <c r="D242" s="39"/>
      <c r="E242" s="44" t="s">
        <v>46</v>
      </c>
      <c r="G242" s="26">
        <v>446.69</v>
      </c>
      <c r="I242" s="3">
        <v>499.5</v>
      </c>
      <c r="L242" s="25">
        <f t="shared" si="14"/>
        <v>499.5</v>
      </c>
      <c r="N242" s="6" t="s">
        <v>14</v>
      </c>
      <c r="O242" s="6">
        <v>5</v>
      </c>
      <c r="P242"/>
      <c r="U242" s="48">
        <v>2500</v>
      </c>
      <c r="V242" s="48">
        <v>750</v>
      </c>
    </row>
    <row r="243" spans="1:22" x14ac:dyDescent="0.2">
      <c r="D243" s="39"/>
      <c r="E243" s="45" t="s">
        <v>236</v>
      </c>
      <c r="G243" s="26"/>
      <c r="L243" s="25"/>
      <c r="P243"/>
      <c r="U243" s="48"/>
      <c r="V243" s="48"/>
    </row>
    <row r="244" spans="1:22" x14ac:dyDescent="0.2">
      <c r="A244">
        <v>100</v>
      </c>
      <c r="B244">
        <v>41940</v>
      </c>
      <c r="C244">
        <v>208</v>
      </c>
      <c r="D244" s="39"/>
      <c r="E244" s="44" t="s">
        <v>91</v>
      </c>
      <c r="G244" s="26"/>
      <c r="I244" s="3">
        <v>16.07</v>
      </c>
      <c r="L244" s="25">
        <f t="shared" ref="L244:L250" si="15">SUM(I244:K244)</f>
        <v>16.07</v>
      </c>
      <c r="N244" s="6" t="s">
        <v>14</v>
      </c>
      <c r="O244" s="6">
        <v>5</v>
      </c>
      <c r="P244"/>
      <c r="U244" s="48"/>
      <c r="V244" s="48"/>
    </row>
    <row r="245" spans="1:22" x14ac:dyDescent="0.2">
      <c r="A245">
        <v>100</v>
      </c>
      <c r="B245">
        <v>41940</v>
      </c>
      <c r="C245">
        <v>228</v>
      </c>
      <c r="D245" s="39"/>
      <c r="E245" s="44" t="s">
        <v>102</v>
      </c>
      <c r="G245" s="26">
        <v>0</v>
      </c>
      <c r="I245" s="3">
        <v>426.73</v>
      </c>
      <c r="L245" s="25">
        <f t="shared" si="15"/>
        <v>426.73</v>
      </c>
      <c r="N245" s="6" t="s">
        <v>14</v>
      </c>
      <c r="O245" s="6">
        <v>5</v>
      </c>
      <c r="P245"/>
      <c r="U245" s="48">
        <v>300</v>
      </c>
      <c r="V245" s="48">
        <v>300</v>
      </c>
    </row>
    <row r="246" spans="1:22" x14ac:dyDescent="0.2">
      <c r="A246">
        <v>100</v>
      </c>
      <c r="B246">
        <v>41940</v>
      </c>
      <c r="C246">
        <v>366</v>
      </c>
      <c r="D246" s="39"/>
      <c r="E246" s="44" t="s">
        <v>77</v>
      </c>
      <c r="G246" s="26">
        <v>1530</v>
      </c>
      <c r="I246" s="3">
        <v>1530</v>
      </c>
      <c r="L246" s="25">
        <f t="shared" si="15"/>
        <v>1530</v>
      </c>
      <c r="N246" s="6" t="s">
        <v>14</v>
      </c>
      <c r="O246" s="6">
        <v>5</v>
      </c>
      <c r="P246"/>
      <c r="U246" s="48">
        <v>1254</v>
      </c>
      <c r="V246" s="48">
        <v>1530</v>
      </c>
    </row>
    <row r="247" spans="1:22" x14ac:dyDescent="0.2">
      <c r="A247">
        <v>100</v>
      </c>
      <c r="B247">
        <v>41940</v>
      </c>
      <c r="C247">
        <v>381</v>
      </c>
      <c r="D247" s="39"/>
      <c r="E247" s="44" t="s">
        <v>84</v>
      </c>
      <c r="G247" s="26">
        <v>1320.12</v>
      </c>
      <c r="I247" s="3">
        <v>1342.19</v>
      </c>
      <c r="L247" s="25">
        <f t="shared" si="15"/>
        <v>1342.19</v>
      </c>
      <c r="N247" s="6" t="s">
        <v>14</v>
      </c>
      <c r="O247" s="6">
        <v>5</v>
      </c>
      <c r="P247"/>
      <c r="U247" s="48">
        <v>1500</v>
      </c>
      <c r="V247" s="48">
        <v>1500</v>
      </c>
    </row>
    <row r="248" spans="1:22" x14ac:dyDescent="0.2">
      <c r="A248">
        <v>100</v>
      </c>
      <c r="B248">
        <v>41940</v>
      </c>
      <c r="C248">
        <v>382</v>
      </c>
      <c r="D248" s="39"/>
      <c r="E248" s="44" t="s">
        <v>234</v>
      </c>
      <c r="G248" s="26">
        <v>528</v>
      </c>
      <c r="I248" s="3">
        <v>540</v>
      </c>
      <c r="L248" s="25">
        <f>SUM(I248:K248)</f>
        <v>540</v>
      </c>
      <c r="N248" s="6" t="s">
        <v>14</v>
      </c>
      <c r="O248" s="6">
        <v>5</v>
      </c>
      <c r="P248"/>
      <c r="U248" s="48">
        <v>516</v>
      </c>
      <c r="V248" s="48">
        <v>528</v>
      </c>
    </row>
    <row r="249" spans="1:22" x14ac:dyDescent="0.2">
      <c r="A249">
        <v>100</v>
      </c>
      <c r="B249">
        <v>41940</v>
      </c>
      <c r="C249">
        <v>383</v>
      </c>
      <c r="D249" s="39"/>
      <c r="E249" s="44" t="s">
        <v>148</v>
      </c>
      <c r="G249" s="26">
        <v>2208.65</v>
      </c>
      <c r="I249" s="3">
        <v>1308</v>
      </c>
      <c r="L249" s="25">
        <f t="shared" si="15"/>
        <v>1308</v>
      </c>
      <c r="N249" s="6" t="s">
        <v>14</v>
      </c>
      <c r="O249" s="6">
        <v>5</v>
      </c>
      <c r="P249"/>
      <c r="U249" s="48">
        <v>2500</v>
      </c>
      <c r="V249" s="48">
        <v>2500</v>
      </c>
    </row>
    <row r="250" spans="1:22" x14ac:dyDescent="0.2">
      <c r="A250">
        <v>100</v>
      </c>
      <c r="B250">
        <v>41940</v>
      </c>
      <c r="C250">
        <v>385</v>
      </c>
      <c r="D250" s="39"/>
      <c r="E250" s="44" t="s">
        <v>235</v>
      </c>
      <c r="G250" s="26">
        <v>324</v>
      </c>
      <c r="I250" s="3">
        <v>348</v>
      </c>
      <c r="L250" s="25">
        <f t="shared" si="15"/>
        <v>348</v>
      </c>
      <c r="N250" s="6" t="s">
        <v>14</v>
      </c>
      <c r="O250" s="6">
        <v>5</v>
      </c>
      <c r="P250"/>
      <c r="U250" s="48">
        <v>324</v>
      </c>
      <c r="V250" s="48">
        <v>324</v>
      </c>
    </row>
    <row r="251" spans="1:22" x14ac:dyDescent="0.2">
      <c r="D251" s="39"/>
      <c r="E251" s="45" t="s">
        <v>237</v>
      </c>
      <c r="G251" s="26"/>
      <c r="L251" s="25"/>
      <c r="P251"/>
      <c r="U251" s="48"/>
      <c r="V251" s="48"/>
    </row>
    <row r="252" spans="1:22" x14ac:dyDescent="0.2">
      <c r="A252">
        <v>100</v>
      </c>
      <c r="B252">
        <v>41942</v>
      </c>
      <c r="C252">
        <v>228</v>
      </c>
      <c r="D252" s="39"/>
      <c r="E252" s="45"/>
      <c r="G252" s="26"/>
      <c r="L252" s="25"/>
      <c r="P252"/>
      <c r="U252" s="48"/>
      <c r="V252" s="48"/>
    </row>
    <row r="253" spans="1:22" x14ac:dyDescent="0.2">
      <c r="A253">
        <v>100</v>
      </c>
      <c r="B253">
        <v>41942</v>
      </c>
      <c r="C253">
        <v>366</v>
      </c>
      <c r="D253" s="39"/>
      <c r="E253" s="44" t="s">
        <v>77</v>
      </c>
      <c r="G253" s="26">
        <v>322</v>
      </c>
      <c r="I253" s="3">
        <v>322</v>
      </c>
      <c r="L253" s="25">
        <f>SUM(I253:K253)</f>
        <v>322</v>
      </c>
      <c r="N253" s="6" t="s">
        <v>14</v>
      </c>
      <c r="O253" s="6">
        <v>5</v>
      </c>
      <c r="P253"/>
      <c r="U253" s="48">
        <v>264</v>
      </c>
      <c r="V253" s="48">
        <v>322</v>
      </c>
    </row>
    <row r="254" spans="1:22" x14ac:dyDescent="0.2">
      <c r="A254">
        <v>100</v>
      </c>
      <c r="B254">
        <v>41942</v>
      </c>
      <c r="C254">
        <v>383</v>
      </c>
      <c r="D254" s="39"/>
      <c r="E254" s="44" t="s">
        <v>148</v>
      </c>
      <c r="G254" s="26">
        <v>1289.05</v>
      </c>
      <c r="I254" s="3">
        <v>1236.44</v>
      </c>
      <c r="L254" s="25">
        <f>SUM(I254:K254)</f>
        <v>1236.44</v>
      </c>
      <c r="N254" s="6" t="s">
        <v>14</v>
      </c>
      <c r="O254" s="6">
        <v>5</v>
      </c>
      <c r="P254"/>
      <c r="U254" s="48">
        <v>0</v>
      </c>
      <c r="V254" s="48">
        <v>1500</v>
      </c>
    </row>
    <row r="255" spans="1:22" x14ac:dyDescent="0.2">
      <c r="D255" s="39"/>
      <c r="E255" s="24"/>
      <c r="G255" s="26"/>
      <c r="L255" s="25"/>
      <c r="P255"/>
      <c r="U255" s="48"/>
      <c r="V255" s="48"/>
    </row>
    <row r="256" spans="1:22" x14ac:dyDescent="0.2">
      <c r="D256" s="39" t="s">
        <v>40</v>
      </c>
      <c r="E256" s="24"/>
      <c r="G256" s="26"/>
      <c r="L256" s="25"/>
      <c r="P256"/>
      <c r="U256" s="48"/>
      <c r="V256" s="48"/>
    </row>
    <row r="257" spans="1:22" x14ac:dyDescent="0.2">
      <c r="D257" s="39"/>
      <c r="E257" s="24" t="s">
        <v>238</v>
      </c>
      <c r="G257" s="26"/>
      <c r="L257" s="25"/>
      <c r="P257"/>
      <c r="U257" s="48"/>
      <c r="V257" s="48"/>
    </row>
    <row r="258" spans="1:22" x14ac:dyDescent="0.2">
      <c r="A258">
        <v>100</v>
      </c>
      <c r="B258">
        <v>42010</v>
      </c>
      <c r="C258">
        <v>316</v>
      </c>
      <c r="D258" s="39"/>
      <c r="E258" s="42" t="s">
        <v>239</v>
      </c>
      <c r="G258" s="26">
        <v>10399.370000000001</v>
      </c>
      <c r="I258" s="3">
        <v>10788.2</v>
      </c>
      <c r="L258" s="25">
        <f>SUM(I258:K258)</f>
        <v>10788.2</v>
      </c>
      <c r="N258" s="6" t="s">
        <v>15</v>
      </c>
      <c r="O258" s="6">
        <v>1</v>
      </c>
      <c r="P258"/>
      <c r="U258" s="48">
        <v>9600</v>
      </c>
      <c r="V258" s="48">
        <v>10500</v>
      </c>
    </row>
    <row r="259" spans="1:22" x14ac:dyDescent="0.2">
      <c r="D259" s="39"/>
      <c r="E259" s="24" t="s">
        <v>349</v>
      </c>
      <c r="G259" s="26"/>
      <c r="L259" s="25"/>
      <c r="P259"/>
      <c r="U259" s="48"/>
      <c r="V259" s="48"/>
    </row>
    <row r="260" spans="1:22" x14ac:dyDescent="0.2">
      <c r="A260">
        <v>100</v>
      </c>
      <c r="B260">
        <v>42200</v>
      </c>
      <c r="C260" t="s">
        <v>147</v>
      </c>
      <c r="D260" s="39"/>
      <c r="E260" s="42" t="s">
        <v>349</v>
      </c>
      <c r="G260" s="26"/>
      <c r="H260" s="4" t="s">
        <v>350</v>
      </c>
      <c r="J260" s="3">
        <v>13640.91</v>
      </c>
      <c r="L260" s="25">
        <f t="shared" ref="L260:L264" si="16">SUM(I260:K260)</f>
        <v>13640.91</v>
      </c>
      <c r="N260" s="6" t="s">
        <v>15</v>
      </c>
      <c r="O260" s="6">
        <v>2</v>
      </c>
      <c r="P260"/>
      <c r="U260" s="48"/>
      <c r="V260" s="48"/>
    </row>
    <row r="261" spans="1:22" x14ac:dyDescent="0.2">
      <c r="A261">
        <v>203</v>
      </c>
      <c r="B261">
        <v>42211</v>
      </c>
      <c r="C261">
        <v>580</v>
      </c>
      <c r="D261" s="39"/>
      <c r="E261" s="42" t="s">
        <v>263</v>
      </c>
      <c r="G261" s="26"/>
      <c r="H261" s="4" t="s">
        <v>359</v>
      </c>
      <c r="I261" s="3">
        <v>1758</v>
      </c>
      <c r="J261" s="3">
        <v>-1758</v>
      </c>
      <c r="L261" s="25">
        <f t="shared" si="16"/>
        <v>0</v>
      </c>
      <c r="P261"/>
      <c r="U261" s="48"/>
      <c r="V261" s="48"/>
    </row>
    <row r="262" spans="1:22" x14ac:dyDescent="0.2">
      <c r="A262">
        <v>203</v>
      </c>
      <c r="B262">
        <v>52212</v>
      </c>
      <c r="C262">
        <v>501</v>
      </c>
      <c r="D262" s="39"/>
      <c r="E262" s="42" t="s">
        <v>338</v>
      </c>
      <c r="G262" s="26"/>
      <c r="H262" s="4" t="s">
        <v>359</v>
      </c>
      <c r="I262" s="3">
        <v>18539.490000000002</v>
      </c>
      <c r="J262" s="3">
        <v>-18539.490000000002</v>
      </c>
      <c r="L262" s="25">
        <f t="shared" si="16"/>
        <v>0</v>
      </c>
      <c r="P262"/>
      <c r="U262" s="48"/>
      <c r="V262" s="48"/>
    </row>
    <row r="263" spans="1:22" x14ac:dyDescent="0.2">
      <c r="A263">
        <v>203</v>
      </c>
      <c r="B263">
        <v>42212</v>
      </c>
      <c r="C263">
        <v>550</v>
      </c>
      <c r="D263" s="39"/>
      <c r="E263" s="42" t="s">
        <v>339</v>
      </c>
      <c r="G263" s="26"/>
      <c r="H263" s="4" t="s">
        <v>359</v>
      </c>
      <c r="I263" s="3">
        <v>3253.51</v>
      </c>
      <c r="J263" s="3">
        <v>-3253.51</v>
      </c>
      <c r="L263" s="25">
        <f t="shared" si="16"/>
        <v>0</v>
      </c>
      <c r="P263"/>
      <c r="U263" s="48"/>
      <c r="V263" s="48"/>
    </row>
    <row r="264" spans="1:22" x14ac:dyDescent="0.2">
      <c r="A264">
        <v>203</v>
      </c>
      <c r="B264">
        <v>42299</v>
      </c>
      <c r="C264">
        <v>550</v>
      </c>
      <c r="D264" s="39"/>
      <c r="E264" s="42" t="s">
        <v>339</v>
      </c>
      <c r="G264" s="26"/>
      <c r="H264" s="4" t="s">
        <v>359</v>
      </c>
      <c r="I264" s="3">
        <v>46012.81</v>
      </c>
      <c r="J264" s="3">
        <v>-46012.81</v>
      </c>
      <c r="L264" s="25">
        <f t="shared" si="16"/>
        <v>0</v>
      </c>
      <c r="P264"/>
      <c r="U264" s="48"/>
      <c r="V264" s="48"/>
    </row>
    <row r="265" spans="1:22" x14ac:dyDescent="0.2">
      <c r="D265" s="39"/>
      <c r="E265" s="24" t="s">
        <v>240</v>
      </c>
      <c r="G265" s="26"/>
      <c r="L265" s="25"/>
      <c r="P265"/>
      <c r="U265" s="48"/>
      <c r="V265" s="48"/>
    </row>
    <row r="266" spans="1:22" x14ac:dyDescent="0.2">
      <c r="A266">
        <v>100</v>
      </c>
      <c r="B266">
        <v>42401</v>
      </c>
      <c r="C266">
        <v>313</v>
      </c>
      <c r="D266" s="39"/>
      <c r="E266" s="44" t="s">
        <v>377</v>
      </c>
      <c r="G266" s="26">
        <v>6501</v>
      </c>
      <c r="I266" s="3">
        <v>178</v>
      </c>
      <c r="L266" s="25">
        <f>SUM(I266:K266)</f>
        <v>178</v>
      </c>
      <c r="N266" s="6" t="s">
        <v>15</v>
      </c>
      <c r="O266" s="6">
        <v>3</v>
      </c>
      <c r="P266"/>
      <c r="U266" s="48">
        <v>2500</v>
      </c>
      <c r="V266" s="48">
        <v>7500</v>
      </c>
    </row>
    <row r="267" spans="1:22" x14ac:dyDescent="0.2">
      <c r="A267">
        <v>100</v>
      </c>
      <c r="B267">
        <v>42401</v>
      </c>
      <c r="C267">
        <v>319</v>
      </c>
      <c r="D267" s="39"/>
      <c r="E267" s="44" t="s">
        <v>335</v>
      </c>
      <c r="G267" s="26"/>
      <c r="I267" s="3">
        <v>3584.07</v>
      </c>
      <c r="L267" s="25">
        <f>SUM(I267:K267)</f>
        <v>3584.07</v>
      </c>
      <c r="N267" s="6" t="s">
        <v>15</v>
      </c>
      <c r="O267" s="6">
        <v>3</v>
      </c>
      <c r="P267"/>
      <c r="U267" s="48"/>
      <c r="V267" s="48"/>
    </row>
    <row r="268" spans="1:22" x14ac:dyDescent="0.2">
      <c r="D268" s="39"/>
      <c r="E268" s="24" t="s">
        <v>241</v>
      </c>
      <c r="G268" s="26">
        <v>0</v>
      </c>
      <c r="L268" s="25">
        <f>SUM(I268:K268)</f>
        <v>0</v>
      </c>
      <c r="P268"/>
      <c r="U268" s="48"/>
      <c r="V268" s="48"/>
    </row>
    <row r="269" spans="1:22" x14ac:dyDescent="0.2">
      <c r="A269">
        <v>100</v>
      </c>
      <c r="B269">
        <v>42501</v>
      </c>
      <c r="C269">
        <v>228</v>
      </c>
      <c r="D269" s="39"/>
      <c r="E269" s="42" t="s">
        <v>242</v>
      </c>
      <c r="G269" s="26">
        <v>7872.4</v>
      </c>
      <c r="I269" s="3">
        <v>0</v>
      </c>
      <c r="L269" s="25">
        <f>SUM(I269:K269)</f>
        <v>0</v>
      </c>
      <c r="N269" s="6" t="s">
        <v>15</v>
      </c>
      <c r="O269" s="6">
        <v>3</v>
      </c>
      <c r="P269"/>
      <c r="U269" s="48">
        <v>0</v>
      </c>
      <c r="V269" s="48">
        <v>0</v>
      </c>
    </row>
    <row r="270" spans="1:22" x14ac:dyDescent="0.2">
      <c r="D270" s="39"/>
      <c r="E270" s="42"/>
      <c r="G270" s="26"/>
      <c r="L270" s="25"/>
      <c r="P270"/>
      <c r="U270" s="48"/>
      <c r="V270" s="48"/>
    </row>
    <row r="271" spans="1:22" x14ac:dyDescent="0.2">
      <c r="D271" s="39"/>
      <c r="E271" s="42"/>
      <c r="G271" s="26"/>
      <c r="L271" s="25"/>
      <c r="P271"/>
      <c r="U271" s="48"/>
      <c r="V271" s="48"/>
    </row>
    <row r="272" spans="1:22" x14ac:dyDescent="0.2">
      <c r="D272" s="39"/>
      <c r="E272" s="24"/>
      <c r="G272" s="26"/>
      <c r="L272" s="25"/>
      <c r="P272"/>
      <c r="U272" s="48"/>
      <c r="V272" s="48"/>
    </row>
    <row r="273" spans="1:22" x14ac:dyDescent="0.2">
      <c r="D273" s="45" t="s">
        <v>88</v>
      </c>
      <c r="G273" s="34"/>
      <c r="I273" s="34"/>
      <c r="J273" s="34"/>
      <c r="K273" s="34"/>
      <c r="L273" s="25"/>
      <c r="U273" s="48"/>
      <c r="V273" s="48"/>
    </row>
    <row r="274" spans="1:22" x14ac:dyDescent="0.2">
      <c r="D274" s="45"/>
      <c r="E274" s="45" t="s">
        <v>243</v>
      </c>
      <c r="G274" s="34"/>
      <c r="I274" s="34"/>
      <c r="J274" s="34"/>
      <c r="K274" s="34"/>
      <c r="L274" s="25"/>
      <c r="U274" s="48"/>
      <c r="V274" s="48"/>
    </row>
    <row r="275" spans="1:22" x14ac:dyDescent="0.2">
      <c r="A275">
        <v>100</v>
      </c>
      <c r="B275">
        <v>43121</v>
      </c>
      <c r="C275">
        <v>101</v>
      </c>
      <c r="D275" s="45"/>
      <c r="E275" s="42" t="s">
        <v>53</v>
      </c>
      <c r="G275" s="34">
        <v>13035.72</v>
      </c>
      <c r="I275" s="34">
        <v>15161.14</v>
      </c>
      <c r="J275" s="34"/>
      <c r="K275" s="34"/>
      <c r="L275" s="25">
        <f>SUM(I275:K275)</f>
        <v>15161.14</v>
      </c>
      <c r="N275" s="6" t="s">
        <v>16</v>
      </c>
      <c r="O275" s="6">
        <v>1</v>
      </c>
      <c r="U275" s="48">
        <v>11013.63</v>
      </c>
      <c r="V275" s="48">
        <v>11013.63</v>
      </c>
    </row>
    <row r="276" spans="1:22" x14ac:dyDescent="0.2">
      <c r="A276">
        <v>100</v>
      </c>
      <c r="B276">
        <v>43121</v>
      </c>
      <c r="C276">
        <v>106</v>
      </c>
      <c r="D276" s="45"/>
      <c r="E276" s="42" t="s">
        <v>98</v>
      </c>
      <c r="G276" s="34">
        <v>1335.14</v>
      </c>
      <c r="I276" s="34">
        <v>1254.3800000000001</v>
      </c>
      <c r="J276" s="34"/>
      <c r="K276" s="34"/>
      <c r="L276" s="25">
        <f>SUM(I276:K276)</f>
        <v>1254.3800000000001</v>
      </c>
      <c r="N276" s="6" t="s">
        <v>16</v>
      </c>
      <c r="O276" s="6">
        <v>1</v>
      </c>
      <c r="U276" s="48">
        <v>989.02</v>
      </c>
      <c r="V276" s="48">
        <v>989.02</v>
      </c>
    </row>
    <row r="277" spans="1:22" x14ac:dyDescent="0.2">
      <c r="A277">
        <v>100</v>
      </c>
      <c r="B277">
        <v>43121</v>
      </c>
      <c r="C277">
        <v>107</v>
      </c>
      <c r="D277" s="45"/>
      <c r="E277" s="42" t="s">
        <v>214</v>
      </c>
      <c r="G277" s="34">
        <v>1317.06</v>
      </c>
      <c r="I277" s="34">
        <v>1196.3399999999999</v>
      </c>
      <c r="J277" s="34"/>
      <c r="K277" s="34"/>
      <c r="L277" s="25">
        <f>SUM(I277:K277)</f>
        <v>1196.3399999999999</v>
      </c>
      <c r="N277" s="6" t="s">
        <v>16</v>
      </c>
      <c r="O277" s="6">
        <v>1</v>
      </c>
      <c r="U277" s="48">
        <v>1112.25</v>
      </c>
      <c r="V277" s="48">
        <v>1112.25</v>
      </c>
    </row>
    <row r="278" spans="1:22" x14ac:dyDescent="0.2">
      <c r="A278">
        <v>100</v>
      </c>
      <c r="B278">
        <v>43121</v>
      </c>
      <c r="C278">
        <v>108</v>
      </c>
      <c r="D278" s="23"/>
      <c r="E278" s="42" t="s">
        <v>215</v>
      </c>
      <c r="G278" s="34">
        <v>262.02</v>
      </c>
      <c r="I278" s="34">
        <v>246.05</v>
      </c>
      <c r="J278" s="34"/>
      <c r="K278" s="34"/>
      <c r="L278" s="25">
        <f t="shared" ref="L278:L304" si="17">SUM(I278:K278)</f>
        <v>246.05</v>
      </c>
      <c r="N278" s="6" t="s">
        <v>16</v>
      </c>
      <c r="O278" s="6">
        <v>1</v>
      </c>
      <c r="U278" s="48">
        <v>248.11</v>
      </c>
      <c r="V278" s="48">
        <v>248.11</v>
      </c>
    </row>
    <row r="279" spans="1:22" x14ac:dyDescent="0.2">
      <c r="A279">
        <v>100</v>
      </c>
      <c r="B279">
        <v>43121</v>
      </c>
      <c r="C279">
        <v>112</v>
      </c>
      <c r="D279" s="23"/>
      <c r="E279" s="42" t="s">
        <v>244</v>
      </c>
      <c r="G279" s="34">
        <v>195</v>
      </c>
      <c r="I279" s="34">
        <v>392.16</v>
      </c>
      <c r="J279" s="34"/>
      <c r="K279" s="34"/>
      <c r="L279" s="25">
        <f t="shared" si="17"/>
        <v>392.16</v>
      </c>
      <c r="N279" s="6" t="s">
        <v>16</v>
      </c>
      <c r="O279" s="6">
        <v>1</v>
      </c>
      <c r="U279" s="48">
        <v>252</v>
      </c>
      <c r="V279" s="48">
        <v>252</v>
      </c>
    </row>
    <row r="280" spans="1:22" x14ac:dyDescent="0.2">
      <c r="A280">
        <v>100</v>
      </c>
      <c r="B280">
        <v>43121</v>
      </c>
      <c r="C280">
        <v>113</v>
      </c>
      <c r="D280" s="23"/>
      <c r="E280" s="42" t="s">
        <v>216</v>
      </c>
      <c r="G280" s="34">
        <v>1120.26</v>
      </c>
      <c r="I280" s="34">
        <v>1051.98</v>
      </c>
      <c r="J280" s="34"/>
      <c r="K280" s="34"/>
      <c r="L280" s="25">
        <f t="shared" si="17"/>
        <v>1051.98</v>
      </c>
      <c r="N280" s="6" t="s">
        <v>16</v>
      </c>
      <c r="O280" s="6">
        <v>1</v>
      </c>
      <c r="U280" s="48">
        <v>1060.9100000000001</v>
      </c>
      <c r="V280" s="48">
        <v>1060.9100000000001</v>
      </c>
    </row>
    <row r="281" spans="1:22" x14ac:dyDescent="0.2">
      <c r="A281">
        <v>100</v>
      </c>
      <c r="B281">
        <v>43121</v>
      </c>
      <c r="C281">
        <v>114</v>
      </c>
      <c r="D281" s="23"/>
      <c r="E281" s="42" t="s">
        <v>245</v>
      </c>
      <c r="G281" s="34">
        <v>847.26</v>
      </c>
      <c r="I281" s="34">
        <v>384.24</v>
      </c>
      <c r="J281" s="34"/>
      <c r="K281" s="34"/>
      <c r="L281" s="25">
        <f t="shared" si="17"/>
        <v>384.24</v>
      </c>
      <c r="N281" s="6" t="s">
        <v>16</v>
      </c>
      <c r="O281" s="6">
        <v>1</v>
      </c>
      <c r="U281" s="48">
        <v>1870.4</v>
      </c>
      <c r="V281" s="48">
        <v>1870.4</v>
      </c>
    </row>
    <row r="282" spans="1:22" x14ac:dyDescent="0.2">
      <c r="A282">
        <v>100</v>
      </c>
      <c r="B282">
        <v>43121</v>
      </c>
      <c r="C282">
        <v>121</v>
      </c>
      <c r="D282" s="23"/>
      <c r="E282" s="42" t="s">
        <v>217</v>
      </c>
      <c r="G282" s="34">
        <v>1538.55</v>
      </c>
      <c r="I282" s="34">
        <v>1380.37</v>
      </c>
      <c r="J282" s="34"/>
      <c r="K282" s="34"/>
      <c r="L282" s="25">
        <f t="shared" si="17"/>
        <v>1380.37</v>
      </c>
      <c r="N282" s="6" t="s">
        <v>16</v>
      </c>
      <c r="O282" s="6">
        <v>1</v>
      </c>
      <c r="U282" s="48">
        <v>1283.3599999999999</v>
      </c>
      <c r="V282" s="48">
        <v>1283.3599999999999</v>
      </c>
    </row>
    <row r="283" spans="1:22" x14ac:dyDescent="0.2">
      <c r="A283">
        <v>100</v>
      </c>
      <c r="B283">
        <v>43121</v>
      </c>
      <c r="C283">
        <v>122</v>
      </c>
      <c r="D283" s="23"/>
      <c r="E283" s="44" t="s">
        <v>246</v>
      </c>
      <c r="G283" s="34">
        <v>1120.22</v>
      </c>
      <c r="I283" s="34">
        <v>1058.4100000000001</v>
      </c>
      <c r="J283" s="34"/>
      <c r="K283" s="34"/>
      <c r="L283" s="25">
        <f t="shared" si="17"/>
        <v>1058.4100000000001</v>
      </c>
      <c r="N283" s="6" t="s">
        <v>16</v>
      </c>
      <c r="O283" s="6">
        <v>1</v>
      </c>
      <c r="U283" s="48">
        <v>1060.9100000000001</v>
      </c>
      <c r="V283" s="48">
        <v>1060.9100000000001</v>
      </c>
    </row>
    <row r="284" spans="1:22" x14ac:dyDescent="0.2">
      <c r="A284">
        <v>100</v>
      </c>
      <c r="B284">
        <v>43121</v>
      </c>
      <c r="C284">
        <v>135</v>
      </c>
      <c r="D284" s="23"/>
      <c r="E284" s="44" t="s">
        <v>247</v>
      </c>
      <c r="G284" s="34">
        <v>262</v>
      </c>
      <c r="I284" s="34">
        <v>246.02</v>
      </c>
      <c r="J284" s="34"/>
      <c r="K284" s="34"/>
      <c r="L284" s="25">
        <f t="shared" si="17"/>
        <v>246.02</v>
      </c>
      <c r="N284" s="6" t="s">
        <v>16</v>
      </c>
      <c r="O284" s="6">
        <v>1</v>
      </c>
      <c r="U284" s="48">
        <v>248.12</v>
      </c>
      <c r="V284" s="48">
        <v>248.12</v>
      </c>
    </row>
    <row r="285" spans="1:22" x14ac:dyDescent="0.2">
      <c r="A285">
        <v>100</v>
      </c>
      <c r="B285">
        <v>43121</v>
      </c>
      <c r="C285">
        <v>136</v>
      </c>
      <c r="D285" s="23"/>
      <c r="E285" s="44" t="s">
        <v>248</v>
      </c>
      <c r="G285" s="34">
        <v>1100</v>
      </c>
      <c r="I285" s="34">
        <v>700</v>
      </c>
      <c r="J285" s="34"/>
      <c r="K285" s="34"/>
      <c r="L285" s="25">
        <f t="shared" si="17"/>
        <v>700</v>
      </c>
      <c r="N285" s="6" t="s">
        <v>16</v>
      </c>
      <c r="O285" s="6">
        <v>1</v>
      </c>
      <c r="U285" s="48">
        <v>1200</v>
      </c>
      <c r="V285" s="48">
        <v>1200</v>
      </c>
    </row>
    <row r="286" spans="1:22" x14ac:dyDescent="0.2">
      <c r="A286">
        <v>100</v>
      </c>
      <c r="B286">
        <v>43121</v>
      </c>
      <c r="C286">
        <v>172</v>
      </c>
      <c r="D286" s="23"/>
      <c r="E286" s="44" t="s">
        <v>299</v>
      </c>
      <c r="G286" s="34">
        <v>853.67</v>
      </c>
      <c r="I286" s="34">
        <v>787.53</v>
      </c>
      <c r="J286" s="34"/>
      <c r="K286" s="34"/>
      <c r="L286" s="25">
        <f t="shared" si="17"/>
        <v>787.53</v>
      </c>
      <c r="N286" s="6" t="s">
        <v>16</v>
      </c>
      <c r="O286" s="6">
        <v>1</v>
      </c>
      <c r="U286" s="48">
        <v>565.15</v>
      </c>
      <c r="V286" s="48">
        <v>565.15</v>
      </c>
    </row>
    <row r="287" spans="1:22" x14ac:dyDescent="0.2">
      <c r="A287">
        <v>100</v>
      </c>
      <c r="B287">
        <v>43121</v>
      </c>
      <c r="C287">
        <v>208</v>
      </c>
      <c r="D287" s="23"/>
      <c r="E287" s="44" t="s">
        <v>91</v>
      </c>
      <c r="G287" s="34">
        <v>0</v>
      </c>
      <c r="I287" s="34">
        <v>461.51</v>
      </c>
      <c r="J287" s="34"/>
      <c r="K287" s="34"/>
      <c r="L287" s="25">
        <f t="shared" si="17"/>
        <v>461.51</v>
      </c>
      <c r="N287" s="6" t="s">
        <v>16</v>
      </c>
      <c r="O287" s="6">
        <v>1</v>
      </c>
      <c r="U287" s="48"/>
      <c r="V287" s="48"/>
    </row>
    <row r="288" spans="1:22" x14ac:dyDescent="0.2">
      <c r="A288">
        <v>100</v>
      </c>
      <c r="B288">
        <v>43121</v>
      </c>
      <c r="C288">
        <v>212</v>
      </c>
      <c r="D288" s="23"/>
      <c r="E288" s="44" t="s">
        <v>249</v>
      </c>
      <c r="G288" s="34">
        <v>2814.88</v>
      </c>
      <c r="I288" s="34">
        <v>1939.83</v>
      </c>
      <c r="J288" s="34"/>
      <c r="K288" s="34"/>
      <c r="L288" s="25">
        <f t="shared" si="17"/>
        <v>1939.83</v>
      </c>
      <c r="N288" s="6" t="s">
        <v>16</v>
      </c>
      <c r="O288" s="6">
        <v>1</v>
      </c>
      <c r="U288" s="48">
        <v>3000</v>
      </c>
      <c r="V288" s="48">
        <v>3500</v>
      </c>
    </row>
    <row r="289" spans="1:22" x14ac:dyDescent="0.2">
      <c r="A289">
        <v>100</v>
      </c>
      <c r="B289">
        <v>43121</v>
      </c>
      <c r="C289">
        <v>219</v>
      </c>
      <c r="D289" s="23"/>
      <c r="E289" s="44" t="s">
        <v>250</v>
      </c>
      <c r="G289" s="34">
        <v>124.39999999999964</v>
      </c>
      <c r="I289" s="34"/>
      <c r="J289" s="34"/>
      <c r="K289" s="34"/>
      <c r="L289" s="25">
        <f t="shared" si="17"/>
        <v>0</v>
      </c>
      <c r="N289" s="6" t="s">
        <v>16</v>
      </c>
      <c r="O289" s="6">
        <v>1</v>
      </c>
      <c r="U289" s="48">
        <v>10000</v>
      </c>
      <c r="V289" s="48">
        <v>2500</v>
      </c>
    </row>
    <row r="290" spans="1:22" x14ac:dyDescent="0.2">
      <c r="A290">
        <v>100</v>
      </c>
      <c r="B290">
        <v>43121</v>
      </c>
      <c r="C290">
        <v>224</v>
      </c>
      <c r="D290" s="23"/>
      <c r="E290" s="44" t="s">
        <v>251</v>
      </c>
      <c r="G290" s="34">
        <v>125</v>
      </c>
      <c r="I290" s="34"/>
      <c r="J290" s="34"/>
      <c r="K290" s="34"/>
      <c r="L290" s="25">
        <f t="shared" si="17"/>
        <v>0</v>
      </c>
      <c r="N290" s="6" t="s">
        <v>16</v>
      </c>
      <c r="O290" s="6">
        <v>1</v>
      </c>
      <c r="U290" s="48">
        <v>0</v>
      </c>
      <c r="V290" s="48">
        <v>0</v>
      </c>
    </row>
    <row r="291" spans="1:22" x14ac:dyDescent="0.2">
      <c r="A291">
        <v>100</v>
      </c>
      <c r="B291">
        <v>43121</v>
      </c>
      <c r="C291">
        <v>228</v>
      </c>
      <c r="D291" s="23"/>
      <c r="E291" s="44" t="s">
        <v>251</v>
      </c>
      <c r="G291" s="34">
        <v>3614.99</v>
      </c>
      <c r="I291" s="34">
        <v>4999.46</v>
      </c>
      <c r="J291" s="34"/>
      <c r="K291" s="34"/>
      <c r="L291" s="25">
        <f t="shared" si="17"/>
        <v>4999.46</v>
      </c>
      <c r="N291" s="6" t="s">
        <v>16</v>
      </c>
      <c r="O291" s="6">
        <v>1</v>
      </c>
      <c r="U291" s="48">
        <v>30000</v>
      </c>
      <c r="V291" s="48">
        <v>30000</v>
      </c>
    </row>
    <row r="292" spans="1:22" x14ac:dyDescent="0.2">
      <c r="A292">
        <v>100</v>
      </c>
      <c r="B292">
        <v>43121</v>
      </c>
      <c r="C292">
        <v>230</v>
      </c>
      <c r="D292" s="23"/>
      <c r="E292" s="44" t="s">
        <v>258</v>
      </c>
      <c r="G292" s="34"/>
      <c r="I292" s="34">
        <v>517.5</v>
      </c>
      <c r="J292" s="34"/>
      <c r="K292" s="34"/>
      <c r="L292" s="25">
        <f t="shared" si="17"/>
        <v>517.5</v>
      </c>
      <c r="N292" s="6" t="s">
        <v>16</v>
      </c>
      <c r="O292" s="6">
        <v>1</v>
      </c>
      <c r="U292" s="48"/>
      <c r="V292" s="48"/>
    </row>
    <row r="293" spans="1:22" x14ac:dyDescent="0.2">
      <c r="A293">
        <v>100</v>
      </c>
      <c r="B293">
        <v>43121</v>
      </c>
      <c r="C293">
        <v>310</v>
      </c>
      <c r="D293" s="23"/>
      <c r="E293" s="44" t="s">
        <v>211</v>
      </c>
      <c r="G293" s="34"/>
      <c r="I293" s="34">
        <v>4000</v>
      </c>
      <c r="J293" s="34"/>
      <c r="K293" s="34"/>
      <c r="L293" s="25">
        <f t="shared" si="17"/>
        <v>4000</v>
      </c>
      <c r="N293" s="6" t="s">
        <v>16</v>
      </c>
      <c r="O293" s="6">
        <v>1</v>
      </c>
      <c r="U293" s="48"/>
      <c r="V293" s="48"/>
    </row>
    <row r="294" spans="1:22" x14ac:dyDescent="0.2">
      <c r="A294">
        <v>100</v>
      </c>
      <c r="B294">
        <v>43121</v>
      </c>
      <c r="C294">
        <v>315</v>
      </c>
      <c r="D294" s="23"/>
      <c r="E294" s="44" t="s">
        <v>272</v>
      </c>
      <c r="G294" s="34"/>
      <c r="I294" s="34">
        <v>222</v>
      </c>
      <c r="J294" s="34"/>
      <c r="K294" s="34"/>
      <c r="L294" s="25">
        <f t="shared" si="17"/>
        <v>222</v>
      </c>
      <c r="N294" s="6" t="s">
        <v>16</v>
      </c>
      <c r="O294" s="6">
        <v>1</v>
      </c>
      <c r="U294" s="48"/>
      <c r="V294" s="48"/>
    </row>
    <row r="295" spans="1:22" x14ac:dyDescent="0.2">
      <c r="A295">
        <v>100</v>
      </c>
      <c r="B295">
        <v>43121</v>
      </c>
      <c r="C295">
        <v>331</v>
      </c>
      <c r="D295" s="23"/>
      <c r="E295" s="44" t="s">
        <v>146</v>
      </c>
      <c r="G295" s="34"/>
      <c r="I295" s="34">
        <v>198.32</v>
      </c>
      <c r="J295" s="34"/>
      <c r="K295" s="34"/>
      <c r="L295" s="25">
        <f t="shared" si="17"/>
        <v>198.32</v>
      </c>
      <c r="N295" s="6" t="s">
        <v>16</v>
      </c>
      <c r="O295" s="6">
        <v>1</v>
      </c>
      <c r="U295" s="48"/>
      <c r="V295" s="48"/>
    </row>
    <row r="296" spans="1:22" x14ac:dyDescent="0.2">
      <c r="A296">
        <v>100</v>
      </c>
      <c r="B296">
        <v>43121</v>
      </c>
      <c r="C296">
        <v>365</v>
      </c>
      <c r="D296" s="23"/>
      <c r="E296" s="44" t="s">
        <v>252</v>
      </c>
      <c r="G296" s="34">
        <v>632</v>
      </c>
      <c r="I296" s="34">
        <v>632</v>
      </c>
      <c r="J296" s="34"/>
      <c r="K296" s="34"/>
      <c r="L296" s="25">
        <f t="shared" si="17"/>
        <v>632</v>
      </c>
      <c r="N296" s="6" t="s">
        <v>16</v>
      </c>
      <c r="O296" s="6">
        <v>1</v>
      </c>
      <c r="U296" s="48">
        <v>1289</v>
      </c>
      <c r="V296" s="48">
        <v>1317</v>
      </c>
    </row>
    <row r="297" spans="1:22" x14ac:dyDescent="0.2">
      <c r="A297">
        <v>100</v>
      </c>
      <c r="B297">
        <v>43121</v>
      </c>
      <c r="C297">
        <v>366</v>
      </c>
      <c r="D297" s="23"/>
      <c r="E297" s="44" t="s">
        <v>77</v>
      </c>
      <c r="G297" s="34">
        <v>966</v>
      </c>
      <c r="I297" s="34">
        <v>966</v>
      </c>
      <c r="J297" s="34"/>
      <c r="K297" s="34"/>
      <c r="L297" s="25">
        <f t="shared" si="17"/>
        <v>966</v>
      </c>
      <c r="N297" s="6" t="s">
        <v>16</v>
      </c>
      <c r="O297" s="6">
        <v>1</v>
      </c>
      <c r="U297" s="48">
        <v>966</v>
      </c>
      <c r="V297" s="48">
        <v>966</v>
      </c>
    </row>
    <row r="298" spans="1:22" x14ac:dyDescent="0.2">
      <c r="A298">
        <v>100</v>
      </c>
      <c r="B298">
        <v>43121</v>
      </c>
      <c r="C298">
        <v>382</v>
      </c>
      <c r="D298" s="23"/>
      <c r="E298" s="44" t="s">
        <v>253</v>
      </c>
      <c r="G298" s="34">
        <v>600.79999999999995</v>
      </c>
      <c r="I298" s="34">
        <v>716.47</v>
      </c>
      <c r="J298" s="34"/>
      <c r="K298" s="34"/>
      <c r="L298" s="25">
        <f t="shared" si="17"/>
        <v>716.47</v>
      </c>
      <c r="N298" s="6" t="s">
        <v>16</v>
      </c>
      <c r="O298" s="6">
        <v>1</v>
      </c>
      <c r="U298" s="48">
        <v>600</v>
      </c>
      <c r="V298" s="48">
        <v>600</v>
      </c>
    </row>
    <row r="299" spans="1:22" x14ac:dyDescent="0.2">
      <c r="A299">
        <v>100</v>
      </c>
      <c r="B299">
        <v>43121</v>
      </c>
      <c r="C299">
        <v>384</v>
      </c>
      <c r="D299" s="23"/>
      <c r="E299" s="44" t="s">
        <v>336</v>
      </c>
      <c r="G299" s="34">
        <v>0</v>
      </c>
      <c r="I299" s="34">
        <v>93.6</v>
      </c>
      <c r="J299" s="34"/>
      <c r="K299" s="34"/>
      <c r="L299" s="25">
        <f t="shared" si="17"/>
        <v>93.6</v>
      </c>
      <c r="N299" s="6" t="s">
        <v>16</v>
      </c>
      <c r="O299" s="6">
        <v>1</v>
      </c>
      <c r="U299" s="48"/>
      <c r="V299" s="48"/>
    </row>
    <row r="300" spans="1:22" x14ac:dyDescent="0.2">
      <c r="A300">
        <v>100</v>
      </c>
      <c r="B300">
        <v>43121</v>
      </c>
      <c r="C300">
        <v>385</v>
      </c>
      <c r="D300" s="23"/>
      <c r="E300" s="44" t="s">
        <v>254</v>
      </c>
      <c r="G300" s="34">
        <v>324</v>
      </c>
      <c r="I300" s="34">
        <v>348</v>
      </c>
      <c r="J300" s="34"/>
      <c r="K300" s="34"/>
      <c r="L300" s="25">
        <f t="shared" si="17"/>
        <v>348</v>
      </c>
      <c r="N300" s="6" t="s">
        <v>16</v>
      </c>
      <c r="O300" s="6">
        <v>1</v>
      </c>
      <c r="U300" s="48">
        <v>300</v>
      </c>
      <c r="V300" s="48">
        <v>300</v>
      </c>
    </row>
    <row r="301" spans="1:22" x14ac:dyDescent="0.2">
      <c r="A301">
        <v>100</v>
      </c>
      <c r="B301">
        <v>43121</v>
      </c>
      <c r="C301">
        <v>405</v>
      </c>
      <c r="D301" s="23"/>
      <c r="E301" s="44" t="s">
        <v>255</v>
      </c>
      <c r="G301" s="34">
        <v>0</v>
      </c>
      <c r="I301" s="34">
        <v>2400</v>
      </c>
      <c r="J301" s="34"/>
      <c r="K301" s="34"/>
      <c r="L301" s="25">
        <f t="shared" si="17"/>
        <v>2400</v>
      </c>
      <c r="N301" s="6" t="s">
        <v>16</v>
      </c>
      <c r="O301" s="6">
        <v>1</v>
      </c>
      <c r="U301" s="48">
        <v>4000</v>
      </c>
      <c r="V301" s="48">
        <v>4000</v>
      </c>
    </row>
    <row r="302" spans="1:22" x14ac:dyDescent="0.2">
      <c r="A302">
        <v>100</v>
      </c>
      <c r="B302">
        <v>43121</v>
      </c>
      <c r="C302">
        <v>433</v>
      </c>
      <c r="D302" s="23"/>
      <c r="E302" s="44" t="s">
        <v>46</v>
      </c>
      <c r="G302" s="34"/>
      <c r="I302" s="34">
        <v>93.98</v>
      </c>
      <c r="J302" s="34"/>
      <c r="K302" s="34"/>
      <c r="L302" s="25">
        <f t="shared" si="17"/>
        <v>93.98</v>
      </c>
      <c r="N302" s="6" t="s">
        <v>16</v>
      </c>
      <c r="O302" s="6">
        <v>1</v>
      </c>
      <c r="U302" s="48"/>
      <c r="V302" s="48"/>
    </row>
    <row r="303" spans="1:22" x14ac:dyDescent="0.2">
      <c r="A303">
        <v>100</v>
      </c>
      <c r="B303">
        <v>43121</v>
      </c>
      <c r="C303">
        <v>530</v>
      </c>
      <c r="D303" s="23"/>
      <c r="E303" s="44" t="s">
        <v>378</v>
      </c>
      <c r="G303" s="34">
        <v>20112.73</v>
      </c>
      <c r="I303" s="34">
        <v>4293</v>
      </c>
      <c r="J303" s="34"/>
      <c r="K303" s="34"/>
      <c r="L303" s="25">
        <f t="shared" si="17"/>
        <v>4293</v>
      </c>
      <c r="N303" s="6" t="s">
        <v>16</v>
      </c>
      <c r="O303" s="6">
        <v>3</v>
      </c>
      <c r="U303" s="48">
        <v>0</v>
      </c>
      <c r="V303" s="48">
        <v>0</v>
      </c>
    </row>
    <row r="304" spans="1:22" x14ac:dyDescent="0.2">
      <c r="A304">
        <v>100</v>
      </c>
      <c r="B304">
        <v>43121</v>
      </c>
      <c r="C304">
        <v>591</v>
      </c>
      <c r="D304" s="23"/>
      <c r="E304" s="44" t="s">
        <v>256</v>
      </c>
      <c r="G304" s="34">
        <v>0</v>
      </c>
      <c r="I304" s="34">
        <v>638.70000000000005</v>
      </c>
      <c r="J304" s="34"/>
      <c r="K304" s="34"/>
      <c r="L304" s="25">
        <f t="shared" si="17"/>
        <v>638.70000000000005</v>
      </c>
      <c r="N304" s="6" t="s">
        <v>16</v>
      </c>
      <c r="O304" s="6">
        <v>1</v>
      </c>
      <c r="U304" s="48">
        <v>200</v>
      </c>
      <c r="V304" s="48">
        <v>500</v>
      </c>
    </row>
    <row r="305" spans="1:22" x14ac:dyDescent="0.2">
      <c r="D305" s="23"/>
      <c r="E305" s="45" t="s">
        <v>257</v>
      </c>
      <c r="G305" s="34"/>
      <c r="I305" s="34"/>
      <c r="J305" s="34"/>
      <c r="K305" s="34"/>
      <c r="L305" s="25"/>
      <c r="U305" s="48"/>
      <c r="V305" s="48"/>
    </row>
    <row r="306" spans="1:22" x14ac:dyDescent="0.2">
      <c r="A306">
        <v>100</v>
      </c>
      <c r="B306">
        <v>43123</v>
      </c>
      <c r="C306">
        <v>230</v>
      </c>
      <c r="D306" s="23"/>
      <c r="E306" s="44" t="s">
        <v>258</v>
      </c>
      <c r="G306" s="34">
        <v>3519</v>
      </c>
      <c r="I306" s="34"/>
      <c r="J306" s="34"/>
      <c r="K306" s="34"/>
      <c r="L306" s="25">
        <f t="shared" ref="L306:L312" si="18">SUM(I306:K306)</f>
        <v>0</v>
      </c>
      <c r="N306" s="6" t="s">
        <v>16</v>
      </c>
      <c r="O306" s="6">
        <v>1</v>
      </c>
      <c r="U306" s="48">
        <v>4000</v>
      </c>
      <c r="V306" s="48">
        <v>5000</v>
      </c>
    </row>
    <row r="307" spans="1:22" x14ac:dyDescent="0.2">
      <c r="D307" s="23"/>
      <c r="E307" s="45" t="s">
        <v>259</v>
      </c>
      <c r="G307" s="34"/>
      <c r="I307" s="34"/>
      <c r="J307" s="34"/>
      <c r="K307" s="34"/>
      <c r="L307" s="25"/>
      <c r="U307" s="48"/>
      <c r="V307" s="48"/>
    </row>
    <row r="308" spans="1:22" x14ac:dyDescent="0.2">
      <c r="A308">
        <v>100</v>
      </c>
      <c r="B308">
        <v>43124</v>
      </c>
      <c r="C308">
        <v>208</v>
      </c>
      <c r="D308" s="23"/>
      <c r="E308" s="44" t="s">
        <v>91</v>
      </c>
      <c r="G308" s="34"/>
      <c r="I308" s="34">
        <v>385.49</v>
      </c>
      <c r="J308" s="34"/>
      <c r="K308" s="34"/>
      <c r="L308" s="25">
        <f t="shared" si="18"/>
        <v>385.49</v>
      </c>
      <c r="N308" s="6" t="s">
        <v>16</v>
      </c>
      <c r="O308" s="6">
        <v>1</v>
      </c>
      <c r="U308" s="48"/>
      <c r="V308" s="48"/>
    </row>
    <row r="309" spans="1:22" x14ac:dyDescent="0.2">
      <c r="A309">
        <v>100</v>
      </c>
      <c r="B309">
        <v>43124</v>
      </c>
      <c r="C309">
        <v>406</v>
      </c>
      <c r="D309" s="23"/>
      <c r="E309" s="44" t="s">
        <v>260</v>
      </c>
      <c r="G309" s="34">
        <v>3575</v>
      </c>
      <c r="I309" s="34">
        <v>1045</v>
      </c>
      <c r="J309" s="34"/>
      <c r="K309" s="34"/>
      <c r="L309" s="25">
        <f t="shared" si="18"/>
        <v>1045</v>
      </c>
      <c r="N309" s="6" t="s">
        <v>16</v>
      </c>
      <c r="O309" s="6">
        <v>6</v>
      </c>
      <c r="U309" s="48">
        <v>2000</v>
      </c>
      <c r="V309" s="48">
        <v>4000</v>
      </c>
    </row>
    <row r="310" spans="1:22" x14ac:dyDescent="0.2">
      <c r="D310" s="23"/>
      <c r="E310" s="45" t="s">
        <v>57</v>
      </c>
      <c r="G310" s="34"/>
      <c r="I310" s="34"/>
      <c r="J310" s="34"/>
      <c r="K310" s="34"/>
      <c r="L310" s="25"/>
      <c r="U310" s="48"/>
      <c r="V310" s="48"/>
    </row>
    <row r="311" spans="1:22" x14ac:dyDescent="0.2">
      <c r="A311">
        <v>100</v>
      </c>
      <c r="B311">
        <v>43160</v>
      </c>
      <c r="C311">
        <v>228</v>
      </c>
      <c r="D311" s="23"/>
      <c r="E311" s="44" t="s">
        <v>251</v>
      </c>
      <c r="G311" s="34">
        <v>28.97</v>
      </c>
      <c r="I311" s="34">
        <v>49.95</v>
      </c>
      <c r="J311" s="34"/>
      <c r="K311" s="34"/>
      <c r="L311" s="25">
        <f t="shared" si="18"/>
        <v>49.95</v>
      </c>
      <c r="N311" s="6" t="s">
        <v>16</v>
      </c>
      <c r="O311" s="6">
        <v>2</v>
      </c>
      <c r="U311" s="48">
        <v>0</v>
      </c>
      <c r="V311" s="48">
        <v>0</v>
      </c>
    </row>
    <row r="312" spans="1:22" x14ac:dyDescent="0.2">
      <c r="A312">
        <v>100</v>
      </c>
      <c r="B312">
        <v>43160</v>
      </c>
      <c r="C312">
        <v>381</v>
      </c>
      <c r="D312" s="23"/>
      <c r="E312" s="44" t="s">
        <v>84</v>
      </c>
      <c r="G312" s="34">
        <v>7075.68</v>
      </c>
      <c r="I312" s="34">
        <v>7118.76</v>
      </c>
      <c r="J312" s="34"/>
      <c r="K312" s="34"/>
      <c r="L312" s="25">
        <f t="shared" si="18"/>
        <v>7118.76</v>
      </c>
      <c r="N312" s="6" t="s">
        <v>16</v>
      </c>
      <c r="O312" s="6">
        <v>2</v>
      </c>
      <c r="U312" s="48">
        <v>9000</v>
      </c>
      <c r="V312" s="48">
        <v>9000</v>
      </c>
    </row>
    <row r="313" spans="1:22" x14ac:dyDescent="0.2">
      <c r="D313" s="39" t="s">
        <v>65</v>
      </c>
      <c r="E313" s="44"/>
      <c r="G313" s="34"/>
      <c r="I313" s="34"/>
      <c r="J313" s="34"/>
      <c r="K313" s="34"/>
      <c r="L313" s="25"/>
      <c r="U313" s="48"/>
      <c r="V313" s="48"/>
    </row>
    <row r="314" spans="1:22" x14ac:dyDescent="0.2">
      <c r="D314" s="39"/>
      <c r="E314" s="45" t="s">
        <v>379</v>
      </c>
      <c r="G314" s="34"/>
      <c r="I314" s="34"/>
      <c r="J314" s="34"/>
      <c r="K314" s="34"/>
      <c r="L314" s="25"/>
      <c r="U314" s="48"/>
      <c r="V314" s="48"/>
    </row>
    <row r="315" spans="1:22" x14ac:dyDescent="0.2">
      <c r="A315">
        <v>100</v>
      </c>
      <c r="B315">
        <v>45120</v>
      </c>
      <c r="C315">
        <v>490</v>
      </c>
      <c r="D315" s="39"/>
      <c r="E315" s="44" t="s">
        <v>46</v>
      </c>
      <c r="G315" s="34">
        <v>750</v>
      </c>
      <c r="I315" s="34">
        <v>750</v>
      </c>
      <c r="J315" s="34"/>
      <c r="K315" s="34"/>
      <c r="L315" s="25">
        <f t="shared" ref="L315:L335" si="19">SUM(I315:K315)</f>
        <v>750</v>
      </c>
      <c r="N315" s="6" t="s">
        <v>17</v>
      </c>
      <c r="O315" s="6">
        <v>1</v>
      </c>
      <c r="U315" s="48">
        <v>1500</v>
      </c>
      <c r="V315" s="48">
        <v>1500</v>
      </c>
    </row>
    <row r="316" spans="1:22" x14ac:dyDescent="0.2">
      <c r="D316" s="39"/>
      <c r="E316" s="45" t="s">
        <v>261</v>
      </c>
      <c r="G316" s="34"/>
      <c r="I316" s="34"/>
      <c r="J316" s="34"/>
      <c r="K316" s="34"/>
      <c r="L316" s="25"/>
      <c r="U316" s="48"/>
      <c r="V316" s="48"/>
    </row>
    <row r="317" spans="1:22" x14ac:dyDescent="0.2">
      <c r="A317">
        <v>100</v>
      </c>
      <c r="B317">
        <v>45181</v>
      </c>
      <c r="C317">
        <v>228</v>
      </c>
      <c r="D317" s="39"/>
      <c r="E317" s="44" t="s">
        <v>251</v>
      </c>
      <c r="G317" s="34">
        <v>2343.09</v>
      </c>
      <c r="I317" s="34">
        <v>2459.8000000000002</v>
      </c>
      <c r="J317" s="34"/>
      <c r="K317" s="34"/>
      <c r="L317" s="25">
        <f t="shared" si="19"/>
        <v>2459.8000000000002</v>
      </c>
      <c r="N317" s="6" t="s">
        <v>17</v>
      </c>
      <c r="O317" s="6">
        <v>2</v>
      </c>
      <c r="U317" s="48">
        <v>3000</v>
      </c>
      <c r="V317" s="48">
        <v>3000</v>
      </c>
    </row>
    <row r="318" spans="1:22" x14ac:dyDescent="0.2">
      <c r="A318">
        <v>100</v>
      </c>
      <c r="B318">
        <v>45181</v>
      </c>
      <c r="C318">
        <v>321</v>
      </c>
      <c r="D318" s="39"/>
      <c r="E318" s="44" t="s">
        <v>222</v>
      </c>
      <c r="G318" s="34">
        <v>623.13</v>
      </c>
      <c r="I318" s="34">
        <v>257.27</v>
      </c>
      <c r="J318" s="34"/>
      <c r="K318" s="34"/>
      <c r="L318" s="25">
        <f t="shared" si="19"/>
        <v>257.27</v>
      </c>
      <c r="N318" s="6" t="s">
        <v>17</v>
      </c>
      <c r="O318" s="6">
        <v>2</v>
      </c>
      <c r="U318" s="48">
        <v>500</v>
      </c>
      <c r="V318" s="48">
        <v>500</v>
      </c>
    </row>
    <row r="319" spans="1:22" x14ac:dyDescent="0.2">
      <c r="A319">
        <v>100</v>
      </c>
      <c r="B319">
        <v>45181</v>
      </c>
      <c r="C319">
        <v>325</v>
      </c>
      <c r="D319" s="39"/>
      <c r="E319" s="44" t="s">
        <v>337</v>
      </c>
      <c r="G319" s="34"/>
      <c r="I319" s="34">
        <v>634.9</v>
      </c>
      <c r="J319" s="34"/>
      <c r="K319" s="34"/>
      <c r="L319" s="25">
        <f t="shared" si="19"/>
        <v>634.9</v>
      </c>
      <c r="N319" s="6" t="s">
        <v>17</v>
      </c>
      <c r="O319" s="6">
        <v>2</v>
      </c>
      <c r="U319" s="48"/>
      <c r="V319" s="48"/>
    </row>
    <row r="320" spans="1:22" x14ac:dyDescent="0.2">
      <c r="A320">
        <v>100</v>
      </c>
      <c r="B320">
        <v>45181</v>
      </c>
      <c r="C320">
        <v>366</v>
      </c>
      <c r="D320" s="39"/>
      <c r="E320" s="44" t="s">
        <v>77</v>
      </c>
      <c r="G320" s="34">
        <v>2644</v>
      </c>
      <c r="I320" s="34">
        <v>2644</v>
      </c>
      <c r="J320" s="34"/>
      <c r="K320" s="34"/>
      <c r="L320" s="25">
        <f t="shared" si="19"/>
        <v>2644</v>
      </c>
      <c r="N320" s="6" t="s">
        <v>17</v>
      </c>
      <c r="O320" s="6">
        <v>2</v>
      </c>
      <c r="U320" s="48">
        <v>2167</v>
      </c>
      <c r="V320" s="48">
        <v>2644</v>
      </c>
    </row>
    <row r="321" spans="1:22" x14ac:dyDescent="0.2">
      <c r="A321">
        <v>100</v>
      </c>
      <c r="B321">
        <v>45181</v>
      </c>
      <c r="C321">
        <v>381</v>
      </c>
      <c r="D321" s="39"/>
      <c r="E321" s="44" t="s">
        <v>84</v>
      </c>
      <c r="G321" s="34">
        <v>2306.11</v>
      </c>
      <c r="I321" s="34">
        <v>2025.24</v>
      </c>
      <c r="J321" s="34"/>
      <c r="K321" s="34"/>
      <c r="L321" s="25">
        <f t="shared" si="19"/>
        <v>2025.24</v>
      </c>
      <c r="N321" s="6" t="s">
        <v>17</v>
      </c>
      <c r="O321" s="6">
        <v>2</v>
      </c>
      <c r="U321" s="48">
        <v>2500</v>
      </c>
      <c r="V321" s="48">
        <v>2500</v>
      </c>
    </row>
    <row r="322" spans="1:22" x14ac:dyDescent="0.2">
      <c r="A322">
        <v>100</v>
      </c>
      <c r="B322">
        <v>45181</v>
      </c>
      <c r="C322">
        <v>382</v>
      </c>
      <c r="D322" s="39"/>
      <c r="E322" s="44" t="s">
        <v>234</v>
      </c>
      <c r="G322" s="34">
        <v>528</v>
      </c>
      <c r="I322" s="34">
        <v>540</v>
      </c>
      <c r="J322" s="34"/>
      <c r="K322" s="34"/>
      <c r="L322" s="25">
        <f t="shared" si="19"/>
        <v>540</v>
      </c>
      <c r="N322" s="6" t="s">
        <v>17</v>
      </c>
      <c r="O322" s="6">
        <v>2</v>
      </c>
      <c r="U322" s="48">
        <v>516</v>
      </c>
      <c r="V322" s="48">
        <v>528</v>
      </c>
    </row>
    <row r="323" spans="1:22" x14ac:dyDescent="0.2">
      <c r="A323">
        <v>100</v>
      </c>
      <c r="B323">
        <v>45181</v>
      </c>
      <c r="C323">
        <v>383</v>
      </c>
      <c r="D323" s="39"/>
      <c r="E323" s="44" t="s">
        <v>148</v>
      </c>
      <c r="G323" s="34">
        <v>1915.67</v>
      </c>
      <c r="I323" s="34">
        <v>1268.47</v>
      </c>
      <c r="J323" s="34"/>
      <c r="K323" s="34"/>
      <c r="L323" s="25">
        <f t="shared" si="19"/>
        <v>1268.47</v>
      </c>
      <c r="N323" s="6" t="s">
        <v>17</v>
      </c>
      <c r="O323" s="6">
        <v>2</v>
      </c>
      <c r="U323" s="48">
        <v>2300</v>
      </c>
      <c r="V323" s="48">
        <v>2300</v>
      </c>
    </row>
    <row r="324" spans="1:22" x14ac:dyDescent="0.2">
      <c r="A324">
        <v>100</v>
      </c>
      <c r="B324">
        <v>45181</v>
      </c>
      <c r="C324">
        <v>384</v>
      </c>
      <c r="D324" s="39"/>
      <c r="E324" s="44" t="s">
        <v>168</v>
      </c>
      <c r="G324" s="34">
        <v>1411.6</v>
      </c>
      <c r="I324" s="34">
        <v>1474.96</v>
      </c>
      <c r="J324" s="34"/>
      <c r="K324" s="34"/>
      <c r="L324" s="25">
        <f t="shared" si="19"/>
        <v>1474.96</v>
      </c>
      <c r="N324" s="6" t="s">
        <v>17</v>
      </c>
      <c r="O324" s="6">
        <v>2</v>
      </c>
      <c r="U324" s="48">
        <v>1500</v>
      </c>
      <c r="V324" s="48">
        <v>1500</v>
      </c>
    </row>
    <row r="325" spans="1:22" x14ac:dyDescent="0.2">
      <c r="A325">
        <v>100</v>
      </c>
      <c r="B325">
        <v>45181</v>
      </c>
      <c r="C325">
        <v>385</v>
      </c>
      <c r="D325" s="39"/>
      <c r="E325" s="44" t="s">
        <v>235</v>
      </c>
      <c r="G325" s="34">
        <v>324</v>
      </c>
      <c r="I325" s="34">
        <v>348</v>
      </c>
      <c r="J325" s="34"/>
      <c r="K325" s="34"/>
      <c r="L325" s="25">
        <f t="shared" si="19"/>
        <v>348</v>
      </c>
      <c r="N325" s="6" t="s">
        <v>17</v>
      </c>
      <c r="O325" s="6">
        <v>2</v>
      </c>
      <c r="U325" s="48">
        <v>300</v>
      </c>
      <c r="V325" s="48">
        <v>324</v>
      </c>
    </row>
    <row r="326" spans="1:22" x14ac:dyDescent="0.2">
      <c r="A326">
        <v>100</v>
      </c>
      <c r="B326">
        <v>45181</v>
      </c>
      <c r="C326">
        <v>520</v>
      </c>
      <c r="D326" s="39"/>
      <c r="E326" s="44" t="s">
        <v>262</v>
      </c>
      <c r="G326" s="34">
        <v>0</v>
      </c>
      <c r="I326" s="34"/>
      <c r="J326" s="34"/>
      <c r="K326" s="34"/>
      <c r="L326" s="25">
        <f t="shared" si="19"/>
        <v>0</v>
      </c>
      <c r="N326" s="6" t="s">
        <v>17</v>
      </c>
      <c r="O326" s="6">
        <v>4</v>
      </c>
      <c r="U326" s="48">
        <v>20000</v>
      </c>
      <c r="V326" s="48">
        <v>20000</v>
      </c>
    </row>
    <row r="327" spans="1:22" x14ac:dyDescent="0.2">
      <c r="A327">
        <v>100</v>
      </c>
      <c r="B327">
        <v>45181</v>
      </c>
      <c r="C327">
        <v>580</v>
      </c>
      <c r="D327" s="39"/>
      <c r="E327" s="44" t="s">
        <v>263</v>
      </c>
      <c r="G327" s="34">
        <v>1629</v>
      </c>
      <c r="I327" s="34">
        <v>4462.3500000000004</v>
      </c>
      <c r="J327" s="34"/>
      <c r="K327" s="34"/>
      <c r="L327" s="25">
        <f t="shared" si="19"/>
        <v>4462.3500000000004</v>
      </c>
      <c r="N327" s="6" t="s">
        <v>17</v>
      </c>
      <c r="O327" s="6">
        <v>4</v>
      </c>
      <c r="U327" s="48">
        <v>10000</v>
      </c>
      <c r="V327" s="48">
        <v>10000</v>
      </c>
    </row>
    <row r="328" spans="1:22" x14ac:dyDescent="0.2">
      <c r="D328" s="39"/>
      <c r="E328" s="45" t="s">
        <v>264</v>
      </c>
      <c r="G328" s="34"/>
      <c r="I328" s="34"/>
      <c r="J328" s="34"/>
      <c r="K328" s="34"/>
      <c r="L328" s="25"/>
      <c r="U328" s="48"/>
      <c r="V328" s="48"/>
    </row>
    <row r="329" spans="1:22" x14ac:dyDescent="0.2">
      <c r="A329">
        <v>100</v>
      </c>
      <c r="B329">
        <v>45182</v>
      </c>
      <c r="C329">
        <v>228</v>
      </c>
      <c r="D329" s="39"/>
      <c r="E329" s="44" t="s">
        <v>251</v>
      </c>
      <c r="G329" s="34">
        <v>271.45</v>
      </c>
      <c r="I329" s="34">
        <v>14777.72</v>
      </c>
      <c r="J329" s="34"/>
      <c r="K329" s="34"/>
      <c r="L329" s="25">
        <f t="shared" si="19"/>
        <v>14777.72</v>
      </c>
      <c r="N329" s="6" t="s">
        <v>17</v>
      </c>
      <c r="O329" s="6">
        <v>3</v>
      </c>
      <c r="U329" s="48">
        <v>10000</v>
      </c>
      <c r="V329" s="48">
        <v>10000</v>
      </c>
    </row>
    <row r="330" spans="1:22" x14ac:dyDescent="0.2">
      <c r="A330">
        <v>100</v>
      </c>
      <c r="B330">
        <v>45182</v>
      </c>
      <c r="C330">
        <v>366</v>
      </c>
      <c r="D330" s="39"/>
      <c r="E330" s="44" t="s">
        <v>77</v>
      </c>
      <c r="G330" s="34">
        <v>2219</v>
      </c>
      <c r="I330" s="34">
        <v>2219</v>
      </c>
      <c r="J330" s="34"/>
      <c r="K330" s="34"/>
      <c r="L330" s="25">
        <f t="shared" si="19"/>
        <v>2219</v>
      </c>
      <c r="N330" s="6" t="s">
        <v>17</v>
      </c>
      <c r="O330" s="6">
        <v>3</v>
      </c>
      <c r="U330" s="48">
        <v>1819</v>
      </c>
      <c r="V330" s="48">
        <v>2219</v>
      </c>
    </row>
    <row r="331" spans="1:22" x14ac:dyDescent="0.2">
      <c r="A331">
        <v>100</v>
      </c>
      <c r="B331">
        <v>45182</v>
      </c>
      <c r="C331">
        <v>381</v>
      </c>
      <c r="D331" s="39"/>
      <c r="E331" s="44" t="s">
        <v>84</v>
      </c>
      <c r="G331" s="34">
        <v>1238.78</v>
      </c>
      <c r="I331" s="34">
        <v>750.45</v>
      </c>
      <c r="J331" s="34"/>
      <c r="K331" s="34"/>
      <c r="L331" s="25">
        <f t="shared" si="19"/>
        <v>750.45</v>
      </c>
      <c r="N331" s="6" t="s">
        <v>17</v>
      </c>
      <c r="O331" s="6">
        <v>3</v>
      </c>
      <c r="U331" s="48">
        <v>1300</v>
      </c>
      <c r="V331" s="48">
        <v>1300</v>
      </c>
    </row>
    <row r="332" spans="1:22" x14ac:dyDescent="0.2">
      <c r="A332">
        <v>100</v>
      </c>
      <c r="B332">
        <v>45182</v>
      </c>
      <c r="C332">
        <v>382</v>
      </c>
      <c r="D332" s="39"/>
      <c r="E332" s="44" t="s">
        <v>234</v>
      </c>
      <c r="G332" s="34">
        <v>2500</v>
      </c>
      <c r="I332" s="34">
        <v>2500</v>
      </c>
      <c r="J332" s="34"/>
      <c r="K332" s="34"/>
      <c r="L332" s="25">
        <f t="shared" si="19"/>
        <v>2500</v>
      </c>
      <c r="N332" s="6" t="s">
        <v>17</v>
      </c>
      <c r="O332" s="6">
        <v>3</v>
      </c>
      <c r="U332" s="48">
        <v>2500</v>
      </c>
      <c r="V332" s="48">
        <v>2500</v>
      </c>
    </row>
    <row r="333" spans="1:22" x14ac:dyDescent="0.2">
      <c r="A333">
        <v>100</v>
      </c>
      <c r="B333">
        <v>45182</v>
      </c>
      <c r="C333">
        <v>384</v>
      </c>
      <c r="D333" s="39"/>
      <c r="E333" s="44" t="s">
        <v>168</v>
      </c>
      <c r="G333" s="34">
        <v>397.35</v>
      </c>
      <c r="I333" s="34">
        <v>401.83</v>
      </c>
      <c r="J333" s="34"/>
      <c r="K333" s="34"/>
      <c r="L333" s="25">
        <f t="shared" si="19"/>
        <v>401.83</v>
      </c>
      <c r="N333" s="6" t="s">
        <v>17</v>
      </c>
      <c r="O333" s="6">
        <v>3</v>
      </c>
      <c r="U333" s="48">
        <v>400</v>
      </c>
      <c r="V333" s="48">
        <v>400</v>
      </c>
    </row>
    <row r="334" spans="1:22" x14ac:dyDescent="0.2">
      <c r="A334">
        <v>100</v>
      </c>
      <c r="B334">
        <v>45182</v>
      </c>
      <c r="C334">
        <v>385</v>
      </c>
      <c r="D334" s="39"/>
      <c r="E334" s="44" t="s">
        <v>235</v>
      </c>
      <c r="G334" s="34">
        <v>162</v>
      </c>
      <c r="I334" s="34">
        <v>348</v>
      </c>
      <c r="J334" s="34"/>
      <c r="K334" s="34"/>
      <c r="L334" s="25">
        <f t="shared" si="19"/>
        <v>348</v>
      </c>
      <c r="N334" s="6" t="s">
        <v>17</v>
      </c>
      <c r="O334" s="6">
        <v>3</v>
      </c>
      <c r="U334" s="48">
        <v>125</v>
      </c>
      <c r="V334" s="48">
        <v>135</v>
      </c>
    </row>
    <row r="335" spans="1:22" x14ac:dyDescent="0.2">
      <c r="A335">
        <v>100</v>
      </c>
      <c r="B335">
        <v>45182</v>
      </c>
      <c r="C335">
        <v>407</v>
      </c>
      <c r="D335" s="39"/>
      <c r="E335" s="44" t="s">
        <v>265</v>
      </c>
      <c r="G335" s="34">
        <v>1266.1099999999999</v>
      </c>
      <c r="I335" s="34">
        <v>1136.3699999999999</v>
      </c>
      <c r="J335" s="34"/>
      <c r="K335" s="34"/>
      <c r="L335" s="25">
        <f t="shared" si="19"/>
        <v>1136.3699999999999</v>
      </c>
      <c r="N335" s="6" t="s">
        <v>17</v>
      </c>
      <c r="O335" s="6">
        <v>3</v>
      </c>
      <c r="U335" s="48">
        <v>900</v>
      </c>
      <c r="V335" s="48">
        <v>1500</v>
      </c>
    </row>
    <row r="336" spans="1:22" x14ac:dyDescent="0.2">
      <c r="D336" s="23"/>
      <c r="E336" s="45" t="s">
        <v>58</v>
      </c>
      <c r="G336" s="34"/>
      <c r="I336" s="34"/>
      <c r="J336" s="34"/>
      <c r="K336" s="34"/>
      <c r="L336" s="25"/>
      <c r="U336" s="48"/>
      <c r="V336" s="48"/>
    </row>
    <row r="337" spans="1:22" x14ac:dyDescent="0.2">
      <c r="A337">
        <v>100</v>
      </c>
      <c r="B337">
        <v>45202</v>
      </c>
      <c r="C337">
        <v>228</v>
      </c>
      <c r="D337" s="23"/>
      <c r="E337" s="44" t="s">
        <v>102</v>
      </c>
      <c r="G337" s="34">
        <v>35.5</v>
      </c>
      <c r="I337" s="34">
        <v>139.99</v>
      </c>
      <c r="J337" s="34"/>
      <c r="K337" s="34"/>
      <c r="L337" s="25">
        <f>SUM(I337:K337)</f>
        <v>139.99</v>
      </c>
      <c r="N337" s="6" t="s">
        <v>17</v>
      </c>
      <c r="O337" s="6">
        <v>1</v>
      </c>
      <c r="U337" s="48">
        <v>400</v>
      </c>
      <c r="V337" s="48">
        <v>400</v>
      </c>
    </row>
    <row r="338" spans="1:22" x14ac:dyDescent="0.2">
      <c r="A338">
        <v>100</v>
      </c>
      <c r="B338">
        <v>45202</v>
      </c>
      <c r="C338">
        <v>366</v>
      </c>
      <c r="D338" s="23"/>
      <c r="E338" s="44" t="s">
        <v>77</v>
      </c>
      <c r="G338" s="34">
        <v>323</v>
      </c>
      <c r="I338" s="34">
        <v>323</v>
      </c>
      <c r="J338" s="34"/>
      <c r="K338" s="34"/>
      <c r="L338" s="25">
        <f>SUM(I338:K338)</f>
        <v>323</v>
      </c>
      <c r="N338" s="6" t="s">
        <v>17</v>
      </c>
      <c r="O338" s="6">
        <v>1</v>
      </c>
      <c r="U338" s="48">
        <v>265</v>
      </c>
      <c r="V338" s="48">
        <v>323</v>
      </c>
    </row>
    <row r="339" spans="1:22" x14ac:dyDescent="0.2">
      <c r="A339">
        <v>100</v>
      </c>
      <c r="B339">
        <v>45202</v>
      </c>
      <c r="C339">
        <v>407</v>
      </c>
      <c r="D339" s="23"/>
      <c r="E339" s="44" t="s">
        <v>265</v>
      </c>
      <c r="G339" s="34">
        <v>517.27</v>
      </c>
      <c r="I339" s="34">
        <v>929.83</v>
      </c>
      <c r="J339" s="34"/>
      <c r="K339" s="34"/>
      <c r="L339" s="25">
        <f>SUM(I339:K339)</f>
        <v>929.83</v>
      </c>
      <c r="N339" s="6" t="s">
        <v>17</v>
      </c>
      <c r="O339" s="6">
        <v>1</v>
      </c>
      <c r="U339" s="48">
        <v>500</v>
      </c>
      <c r="V339" s="48">
        <v>500</v>
      </c>
    </row>
    <row r="340" spans="1:22" x14ac:dyDescent="0.2">
      <c r="D340" s="23"/>
      <c r="E340" s="44"/>
      <c r="G340" s="34"/>
      <c r="I340" s="34"/>
      <c r="J340" s="34"/>
      <c r="K340" s="34"/>
      <c r="L340" s="25"/>
      <c r="U340" s="48"/>
      <c r="V340" s="48"/>
    </row>
    <row r="341" spans="1:22" x14ac:dyDescent="0.2">
      <c r="D341" s="39" t="s">
        <v>46</v>
      </c>
      <c r="E341" s="44"/>
      <c r="G341" s="34"/>
      <c r="I341" s="34"/>
      <c r="J341" s="34"/>
      <c r="K341" s="34"/>
      <c r="L341" s="25"/>
      <c r="U341" s="48"/>
      <c r="V341" s="48"/>
    </row>
    <row r="342" spans="1:22" x14ac:dyDescent="0.2">
      <c r="D342" s="23"/>
      <c r="E342" s="45" t="s">
        <v>266</v>
      </c>
      <c r="G342" s="34"/>
      <c r="I342" s="34"/>
      <c r="J342" s="34"/>
      <c r="K342" s="34"/>
      <c r="L342" s="25"/>
      <c r="U342" s="48"/>
      <c r="V342" s="48"/>
    </row>
    <row r="343" spans="1:22" x14ac:dyDescent="0.2">
      <c r="A343">
        <v>100</v>
      </c>
      <c r="B343">
        <v>47601</v>
      </c>
      <c r="C343">
        <v>492</v>
      </c>
      <c r="D343" s="23"/>
      <c r="E343" s="44" t="s">
        <v>267</v>
      </c>
      <c r="G343" s="34">
        <v>900</v>
      </c>
      <c r="I343" s="34"/>
      <c r="J343" s="34"/>
      <c r="K343" s="34"/>
      <c r="L343" s="25">
        <f>SUM(I343:K343)</f>
        <v>0</v>
      </c>
      <c r="N343" s="6" t="s">
        <v>14</v>
      </c>
      <c r="O343" s="6">
        <v>1</v>
      </c>
      <c r="R343" s="71" t="s">
        <v>311</v>
      </c>
      <c r="U343" s="48">
        <v>0</v>
      </c>
      <c r="V343" s="48">
        <v>0</v>
      </c>
    </row>
    <row r="344" spans="1:22" x14ac:dyDescent="0.2">
      <c r="D344" s="23"/>
      <c r="E344" s="45"/>
      <c r="G344" s="34">
        <v>0</v>
      </c>
      <c r="I344" s="34"/>
      <c r="J344" s="34"/>
      <c r="K344" s="34"/>
      <c r="L344" s="25">
        <f>SUM(I344:K344)</f>
        <v>0</v>
      </c>
      <c r="U344" s="48"/>
      <c r="V344" s="48"/>
    </row>
    <row r="345" spans="1:22" x14ac:dyDescent="0.2">
      <c r="A345">
        <v>203</v>
      </c>
      <c r="B345">
        <v>49295</v>
      </c>
      <c r="C345">
        <v>387</v>
      </c>
      <c r="D345" s="23"/>
      <c r="E345" s="44" t="s">
        <v>306</v>
      </c>
      <c r="G345" s="34"/>
      <c r="I345" s="34"/>
      <c r="J345" s="34"/>
      <c r="K345" s="34"/>
      <c r="L345" s="25"/>
      <c r="U345" s="48"/>
      <c r="V345" s="48"/>
    </row>
    <row r="346" spans="1:22" x14ac:dyDescent="0.2">
      <c r="A346">
        <v>203</v>
      </c>
      <c r="B346">
        <v>42299</v>
      </c>
      <c r="C346">
        <v>208</v>
      </c>
      <c r="D346" s="23"/>
      <c r="E346" s="44" t="s">
        <v>91</v>
      </c>
      <c r="G346" s="34"/>
      <c r="I346" s="34"/>
      <c r="J346" s="34"/>
      <c r="K346" s="34"/>
      <c r="L346" s="25"/>
      <c r="U346" s="48"/>
      <c r="V346" s="48"/>
    </row>
    <row r="347" spans="1:22" x14ac:dyDescent="0.2">
      <c r="A347">
        <v>100</v>
      </c>
      <c r="B347">
        <v>49001</v>
      </c>
      <c r="C347">
        <v>437</v>
      </c>
      <c r="D347" s="23"/>
      <c r="E347" s="44" t="s">
        <v>46</v>
      </c>
      <c r="G347" s="34">
        <v>28</v>
      </c>
      <c r="H347" s="4" t="s">
        <v>370</v>
      </c>
      <c r="I347" s="34"/>
      <c r="J347" s="34">
        <v>1347.37</v>
      </c>
      <c r="K347" s="34">
        <v>20</v>
      </c>
      <c r="L347" s="25">
        <f>SUM(I347:K347)</f>
        <v>1367.37</v>
      </c>
      <c r="N347" s="6" t="s">
        <v>14</v>
      </c>
      <c r="O347" s="6">
        <v>1</v>
      </c>
      <c r="U347" s="48">
        <v>0</v>
      </c>
      <c r="V347" s="48">
        <v>0</v>
      </c>
    </row>
    <row r="348" spans="1:22" x14ac:dyDescent="0.2">
      <c r="A348">
        <v>100</v>
      </c>
      <c r="B348">
        <v>46525</v>
      </c>
      <c r="C348">
        <v>437</v>
      </c>
      <c r="D348" s="23"/>
      <c r="E348" s="44" t="s">
        <v>33</v>
      </c>
      <c r="G348" s="34">
        <v>0</v>
      </c>
      <c r="I348" s="34"/>
      <c r="J348" s="34"/>
      <c r="K348" s="34"/>
      <c r="L348" s="25">
        <f>SUM(I348:K348)</f>
        <v>0</v>
      </c>
      <c r="N348" s="6" t="s">
        <v>14</v>
      </c>
      <c r="O348" s="6">
        <v>1</v>
      </c>
      <c r="U348" s="48">
        <v>28</v>
      </c>
      <c r="V348" s="48">
        <v>28</v>
      </c>
    </row>
    <row r="349" spans="1:22" x14ac:dyDescent="0.2">
      <c r="A349">
        <v>100</v>
      </c>
      <c r="B349">
        <v>46525</v>
      </c>
      <c r="C349" t="s">
        <v>147</v>
      </c>
      <c r="D349" s="23"/>
      <c r="E349" s="44" t="s">
        <v>97</v>
      </c>
      <c r="G349" s="34">
        <v>0</v>
      </c>
      <c r="I349" s="34"/>
      <c r="J349" s="34"/>
      <c r="K349" s="34"/>
      <c r="L349" s="25">
        <f>SUM(I349:K349)</f>
        <v>0</v>
      </c>
      <c r="U349" s="48"/>
      <c r="V349" s="48"/>
    </row>
    <row r="350" spans="1:22" x14ac:dyDescent="0.2">
      <c r="D350" s="23"/>
      <c r="E350" s="44"/>
      <c r="G350" s="34"/>
      <c r="I350" s="34"/>
      <c r="J350" s="34"/>
      <c r="K350" s="34"/>
      <c r="L350" s="25"/>
      <c r="U350" s="48"/>
      <c r="V350" s="48"/>
    </row>
    <row r="351" spans="1:22" x14ac:dyDescent="0.2">
      <c r="D351" s="23"/>
      <c r="E351" s="44"/>
      <c r="G351" s="34"/>
      <c r="I351" s="34"/>
      <c r="J351" s="34"/>
      <c r="K351" s="34"/>
      <c r="L351" s="25"/>
      <c r="U351" s="48"/>
      <c r="V351" s="48"/>
    </row>
    <row r="352" spans="1:22" x14ac:dyDescent="0.2">
      <c r="D352" s="43" t="s">
        <v>67</v>
      </c>
      <c r="E352" s="47"/>
      <c r="G352" s="34"/>
      <c r="I352" s="34"/>
      <c r="J352" s="34"/>
      <c r="K352" s="34"/>
      <c r="L352" s="25"/>
      <c r="V352" s="7"/>
    </row>
    <row r="353" spans="1:25" x14ac:dyDescent="0.2">
      <c r="A353">
        <v>100</v>
      </c>
      <c r="B353">
        <v>49360</v>
      </c>
      <c r="C353">
        <v>310</v>
      </c>
      <c r="D353" s="43"/>
      <c r="E353" s="47" t="s">
        <v>136</v>
      </c>
      <c r="G353" s="34">
        <v>0</v>
      </c>
      <c r="I353" s="34"/>
      <c r="J353" s="34"/>
      <c r="K353" s="34"/>
      <c r="L353" s="25">
        <f>SUM(I353:K353)</f>
        <v>0</v>
      </c>
      <c r="N353" s="6" t="s">
        <v>155</v>
      </c>
      <c r="O353" s="6">
        <v>1</v>
      </c>
      <c r="V353" s="7"/>
    </row>
    <row r="354" spans="1:25" x14ac:dyDescent="0.2">
      <c r="A354">
        <v>100</v>
      </c>
      <c r="B354">
        <v>49360</v>
      </c>
      <c r="C354">
        <v>720</v>
      </c>
      <c r="D354" s="43"/>
      <c r="E354" s="47" t="s">
        <v>178</v>
      </c>
      <c r="G354" s="34">
        <v>13000</v>
      </c>
      <c r="H354" s="4" t="s">
        <v>350</v>
      </c>
      <c r="I354" s="34">
        <v>13640.91</v>
      </c>
      <c r="J354" s="34">
        <v>-13640.91</v>
      </c>
      <c r="K354" s="34"/>
      <c r="L354" s="25">
        <f>SUM(I354:K354)</f>
        <v>0</v>
      </c>
      <c r="N354" s="6" t="s">
        <v>155</v>
      </c>
      <c r="O354" s="6">
        <v>1</v>
      </c>
      <c r="U354" s="7">
        <v>16000</v>
      </c>
      <c r="V354" s="7">
        <v>16000</v>
      </c>
    </row>
    <row r="355" spans="1:25" x14ac:dyDescent="0.2">
      <c r="A355">
        <v>100</v>
      </c>
      <c r="B355">
        <v>49350</v>
      </c>
      <c r="C355">
        <v>800</v>
      </c>
      <c r="D355" s="43"/>
      <c r="E355" s="47" t="s">
        <v>103</v>
      </c>
      <c r="G355" s="34">
        <v>0</v>
      </c>
      <c r="H355" s="4" t="s">
        <v>345</v>
      </c>
      <c r="I355" s="34">
        <v>433521.98</v>
      </c>
      <c r="J355" s="34">
        <f>-15359.22-2616.13-5464.43-205041.1-205041.1</f>
        <v>-433521.98</v>
      </c>
      <c r="K355" s="34"/>
      <c r="L355" s="25">
        <f>SUM(I355:K355)</f>
        <v>0</v>
      </c>
      <c r="N355" s="6" t="s">
        <v>155</v>
      </c>
      <c r="O355" s="6">
        <v>2</v>
      </c>
      <c r="U355" s="7">
        <v>0</v>
      </c>
      <c r="V355" s="7">
        <v>0</v>
      </c>
    </row>
    <row r="356" spans="1:25" x14ac:dyDescent="0.2">
      <c r="A356">
        <v>203</v>
      </c>
      <c r="B356">
        <v>49360</v>
      </c>
      <c r="C356">
        <v>310</v>
      </c>
      <c r="D356" s="43"/>
      <c r="E356" s="47" t="s">
        <v>136</v>
      </c>
      <c r="G356" s="34"/>
      <c r="H356" s="4" t="s">
        <v>359</v>
      </c>
      <c r="I356" s="34"/>
      <c r="J356" s="34">
        <v>69563.81</v>
      </c>
      <c r="K356" s="34"/>
      <c r="L356" s="25">
        <f>SUM(I356:K356)</f>
        <v>69563.81</v>
      </c>
      <c r="M356" s="82" t="s">
        <v>348</v>
      </c>
      <c r="N356" s="6" t="s">
        <v>155</v>
      </c>
      <c r="O356" s="6">
        <v>1</v>
      </c>
      <c r="V356" s="7"/>
    </row>
    <row r="357" spans="1:25" x14ac:dyDescent="0.2">
      <c r="D357" s="39"/>
      <c r="E357" s="46"/>
      <c r="G357" s="34"/>
      <c r="I357" s="34"/>
      <c r="J357" s="34"/>
      <c r="K357" s="34"/>
      <c r="L357" s="25"/>
      <c r="V357" s="7"/>
      <c r="Y357" s="48"/>
    </row>
    <row r="358" spans="1:25" ht="13.5" thickBot="1" x14ac:dyDescent="0.25">
      <c r="D358" s="23"/>
      <c r="E358" s="24"/>
      <c r="G358" s="29">
        <f t="shared" ref="G358:L358" si="20">SUM(G173:G357)</f>
        <v>258541.99</v>
      </c>
      <c r="H358" s="29">
        <f t="shared" si="20"/>
        <v>0</v>
      </c>
      <c r="I358" s="29">
        <f t="shared" si="20"/>
        <v>732193.19</v>
      </c>
      <c r="J358" s="29">
        <f t="shared" si="20"/>
        <v>-434607.83999999997</v>
      </c>
      <c r="K358" s="29">
        <f t="shared" si="20"/>
        <v>1105.8599999999999</v>
      </c>
      <c r="L358" s="29">
        <f t="shared" si="20"/>
        <v>298691.20999999996</v>
      </c>
      <c r="P358" s="31">
        <f>P169</f>
        <v>298691.21000000002</v>
      </c>
      <c r="S358" s="31">
        <f>S169</f>
        <v>298691.21000000002</v>
      </c>
      <c r="U358" s="32">
        <f>SUM(U173:U357)</f>
        <v>327636.36</v>
      </c>
      <c r="V358" s="32">
        <f>SUM(V173:V357)</f>
        <v>345699.36</v>
      </c>
      <c r="Y358" s="48">
        <f>SUM(Y357:Y357)</f>
        <v>0</v>
      </c>
    </row>
    <row r="359" spans="1:25" ht="13.5" thickTop="1" x14ac:dyDescent="0.2">
      <c r="D359" s="23"/>
      <c r="G359" s="28"/>
      <c r="I359" s="28"/>
      <c r="J359" s="28"/>
      <c r="K359" s="28"/>
      <c r="L359" s="28"/>
    </row>
    <row r="360" spans="1:25" x14ac:dyDescent="0.2">
      <c r="E360" s="24" t="s">
        <v>20</v>
      </c>
      <c r="G360" s="29">
        <f>+G358+G126</f>
        <v>-132263.90999999997</v>
      </c>
      <c r="I360" s="29">
        <f>+I358+I126</f>
        <v>-113888.78000000014</v>
      </c>
      <c r="J360" s="29">
        <f>+J358+J126</f>
        <v>-12932.789999999921</v>
      </c>
      <c r="K360" s="29">
        <f>+K358+K126</f>
        <v>-241.51</v>
      </c>
      <c r="L360" s="29">
        <f>+L358+L126</f>
        <v>-127063.08000000007</v>
      </c>
      <c r="P360" s="3">
        <f>P76+P169</f>
        <v>-127063.08000000002</v>
      </c>
      <c r="S360" s="3">
        <f>S76+S169</f>
        <v>-127063.08000000002</v>
      </c>
    </row>
    <row r="361" spans="1:25" x14ac:dyDescent="0.2">
      <c r="E361" s="24"/>
      <c r="G361" s="35"/>
      <c r="I361" s="35"/>
      <c r="J361" s="35"/>
      <c r="K361" s="35"/>
      <c r="L361" s="35"/>
    </row>
    <row r="362" spans="1:25" x14ac:dyDescent="0.2">
      <c r="E362" s="24"/>
      <c r="F362" t="s">
        <v>300</v>
      </c>
      <c r="G362" s="26"/>
      <c r="I362" s="26"/>
      <c r="J362" s="26"/>
      <c r="K362" s="67" t="s">
        <v>21</v>
      </c>
      <c r="L362" s="36">
        <f>+L360+L27</f>
        <v>-1.4551915228366852E-10</v>
      </c>
      <c r="P362" s="30">
        <f>L360-P360</f>
        <v>0</v>
      </c>
      <c r="S362" s="30">
        <f>P360-S360</f>
        <v>0</v>
      </c>
      <c r="U362" s="30">
        <f>+U169-U358</f>
        <v>0</v>
      </c>
      <c r="V362" s="30">
        <f>+V169-V358</f>
        <v>0</v>
      </c>
    </row>
  </sheetData>
  <sortState xmlns:xlrd2="http://schemas.microsoft.com/office/spreadsheetml/2017/richdata2" ref="A125:Y126">
    <sortCondition ref="B125:B126"/>
  </sortState>
  <mergeCells count="5">
    <mergeCell ref="A2:B2"/>
    <mergeCell ref="A4:B4"/>
    <mergeCell ref="A6:C6"/>
    <mergeCell ref="A3:B3"/>
    <mergeCell ref="J6:K6"/>
  </mergeCells>
  <phoneticPr fontId="6" type="noConversion"/>
  <printOptions gridLines="1"/>
  <pageMargins left="0.75" right="0.75" top="1" bottom="1" header="0.5" footer="0.5"/>
  <pageSetup scale="54" fitToHeight="100" orientation="landscape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T152"/>
  <sheetViews>
    <sheetView zoomScaleNormal="100" workbookViewId="0">
      <pane xSplit="7" ySplit="6" topLeftCell="H22" activePane="bottomRight" state="frozen"/>
      <selection activeCell="S147" activeCellId="1" sqref="S158 S147"/>
      <selection pane="topRight" activeCell="S147" activeCellId="1" sqref="S158 S147"/>
      <selection pane="bottomLeft" activeCell="S147" activeCellId="1" sqref="S158 S147"/>
      <selection pane="bottomRight" activeCell="L30" sqref="L30"/>
    </sheetView>
  </sheetViews>
  <sheetFormatPr defaultColWidth="9.28515625" defaultRowHeight="12.75" x14ac:dyDescent="0.2"/>
  <cols>
    <col min="1" max="1" width="4.140625" customWidth="1"/>
    <col min="2" max="2" width="6" bestFit="1" customWidth="1"/>
    <col min="3" max="3" width="4" bestFit="1" customWidth="1"/>
    <col min="4" max="4" width="3.42578125" customWidth="1"/>
    <col min="5" max="5" width="15.42578125" customWidth="1"/>
    <col min="6" max="6" width="11.28515625" customWidth="1"/>
    <col min="7" max="7" width="13" style="3" customWidth="1"/>
    <col min="8" max="8" width="6.5703125" style="4" customWidth="1"/>
    <col min="9" max="9" width="12.85546875" style="3" bestFit="1" customWidth="1"/>
    <col min="10" max="10" width="11.85546875" style="3" bestFit="1" customWidth="1"/>
    <col min="11" max="11" width="13.42578125" style="3" customWidth="1"/>
    <col min="12" max="12" width="12.28515625" style="3" bestFit="1" customWidth="1"/>
    <col min="13" max="13" width="5" style="6" bestFit="1" customWidth="1"/>
    <col min="14" max="14" width="3.7109375" style="6" customWidth="1"/>
    <col min="15" max="15" width="11.85546875" style="3" bestFit="1" customWidth="1"/>
    <col min="16" max="16" width="16.85546875" style="71" customWidth="1"/>
    <col min="17" max="18" width="11.85546875" style="48" bestFit="1" customWidth="1"/>
    <col min="19" max="19" width="11.85546875" bestFit="1" customWidth="1"/>
    <col min="20" max="20" width="11.28515625" bestFit="1" customWidth="1"/>
  </cols>
  <sheetData>
    <row r="1" spans="1:18" x14ac:dyDescent="0.2">
      <c r="A1" s="1"/>
      <c r="G1" s="2" t="s">
        <v>194</v>
      </c>
      <c r="K1" s="5" t="s">
        <v>0</v>
      </c>
      <c r="L1" s="64" t="s">
        <v>137</v>
      </c>
    </row>
    <row r="2" spans="1:18" x14ac:dyDescent="0.2">
      <c r="A2" s="89"/>
      <c r="B2" s="89"/>
      <c r="D2" s="8"/>
      <c r="G2" s="9" t="s">
        <v>1</v>
      </c>
    </row>
    <row r="3" spans="1:18" x14ac:dyDescent="0.2">
      <c r="A3" s="10"/>
      <c r="B3" s="10"/>
      <c r="D3" s="8"/>
      <c r="G3" s="9" t="s">
        <v>324</v>
      </c>
    </row>
    <row r="4" spans="1:18" x14ac:dyDescent="0.2">
      <c r="A4" s="89"/>
      <c r="B4" s="89"/>
      <c r="D4" s="10"/>
      <c r="G4" s="11">
        <v>45657</v>
      </c>
    </row>
    <row r="5" spans="1:18" ht="15" x14ac:dyDescent="0.2">
      <c r="K5" s="65" t="s">
        <v>21</v>
      </c>
      <c r="L5" s="40">
        <f>+L16+L108</f>
        <v>0</v>
      </c>
      <c r="N5" s="12"/>
      <c r="O5" s="74" t="s">
        <v>2</v>
      </c>
      <c r="P5" s="55"/>
      <c r="Q5" s="13" t="s">
        <v>26</v>
      </c>
      <c r="R5" s="13" t="s">
        <v>25</v>
      </c>
    </row>
    <row r="6" spans="1:18" x14ac:dyDescent="0.2">
      <c r="A6" s="90" t="s">
        <v>108</v>
      </c>
      <c r="B6" s="90"/>
      <c r="C6" s="90"/>
      <c r="D6" s="14"/>
      <c r="E6" s="15" t="s">
        <v>4</v>
      </c>
      <c r="F6" s="16"/>
      <c r="G6" s="17">
        <f>EDATE(G4,-12)</f>
        <v>45291</v>
      </c>
      <c r="H6" s="18" t="s">
        <v>5</v>
      </c>
      <c r="I6" s="74" t="s">
        <v>109</v>
      </c>
      <c r="J6" s="91" t="s">
        <v>110</v>
      </c>
      <c r="K6" s="91"/>
      <c r="L6" s="17">
        <f>+G4</f>
        <v>45657</v>
      </c>
      <c r="M6" s="18" t="s">
        <v>24</v>
      </c>
      <c r="N6" s="16" t="s">
        <v>6</v>
      </c>
      <c r="O6" s="19" t="s">
        <v>7</v>
      </c>
      <c r="P6" s="16" t="s">
        <v>4</v>
      </c>
      <c r="Q6" s="41" t="s">
        <v>27</v>
      </c>
      <c r="R6" s="41" t="s">
        <v>27</v>
      </c>
    </row>
    <row r="7" spans="1:18" x14ac:dyDescent="0.2">
      <c r="D7" s="23"/>
      <c r="E7" s="24"/>
      <c r="G7" s="25"/>
      <c r="L7" s="25"/>
    </row>
    <row r="8" spans="1:18" x14ac:dyDescent="0.2">
      <c r="A8" s="54">
        <v>225</v>
      </c>
      <c r="D8" s="39" t="s">
        <v>169</v>
      </c>
      <c r="G8" s="26">
        <v>143432.5</v>
      </c>
      <c r="I8" s="3">
        <f>244184.25-297192.46</f>
        <v>-53008.210000000021</v>
      </c>
      <c r="L8" s="25">
        <f>SUM(G8:K8)</f>
        <v>90424.289999999979</v>
      </c>
      <c r="M8" s="82" t="s">
        <v>384</v>
      </c>
      <c r="N8" s="6" t="s">
        <v>14</v>
      </c>
      <c r="O8" s="3">
        <f>SUM(L8:L9)</f>
        <v>90424.289999999979</v>
      </c>
    </row>
    <row r="9" spans="1:18" x14ac:dyDescent="0.2">
      <c r="A9" s="54"/>
      <c r="D9" s="24"/>
      <c r="G9" s="26"/>
      <c r="L9" s="25"/>
    </row>
    <row r="10" spans="1:18" x14ac:dyDescent="0.2">
      <c r="D10" s="23"/>
      <c r="E10" s="42"/>
      <c r="G10" s="26"/>
      <c r="L10" s="25"/>
    </row>
    <row r="11" spans="1:18" x14ac:dyDescent="0.2">
      <c r="D11" s="24" t="s">
        <v>28</v>
      </c>
      <c r="L11" s="25"/>
    </row>
    <row r="12" spans="1:18" x14ac:dyDescent="0.2">
      <c r="D12" s="27"/>
      <c r="E12" s="42" t="s">
        <v>29</v>
      </c>
      <c r="G12" s="3">
        <v>-143432.5</v>
      </c>
      <c r="L12" s="25">
        <f>SUM(G12:K12)</f>
        <v>-143432.5</v>
      </c>
      <c r="N12" s="6" t="s">
        <v>8</v>
      </c>
      <c r="O12" s="3">
        <f>+L12+L13+L14-L16</f>
        <v>-90424.289999999979</v>
      </c>
    </row>
    <row r="13" spans="1:18" x14ac:dyDescent="0.2">
      <c r="D13" s="23"/>
      <c r="E13" s="42" t="s">
        <v>30</v>
      </c>
      <c r="G13" s="26">
        <v>0</v>
      </c>
      <c r="L13" s="25">
        <f>SUM(G13:K13)</f>
        <v>0</v>
      </c>
      <c r="N13" s="6" t="s">
        <v>8</v>
      </c>
    </row>
    <row r="14" spans="1:18" x14ac:dyDescent="0.2">
      <c r="D14" s="23"/>
      <c r="E14" s="42" t="s">
        <v>124</v>
      </c>
      <c r="G14" s="26">
        <v>0</v>
      </c>
      <c r="L14" s="25">
        <f>SUM(G14:K14)</f>
        <v>0</v>
      </c>
      <c r="N14" s="6" t="s">
        <v>8</v>
      </c>
    </row>
    <row r="15" spans="1:18" x14ac:dyDescent="0.2">
      <c r="G15" s="28"/>
      <c r="I15" s="28"/>
      <c r="J15" s="28"/>
      <c r="K15" s="28"/>
      <c r="L15" s="28"/>
    </row>
    <row r="16" spans="1:18" x14ac:dyDescent="0.2">
      <c r="E16" s="24" t="s">
        <v>9</v>
      </c>
      <c r="G16" s="29">
        <f>SUM(G7:G15)</f>
        <v>0</v>
      </c>
      <c r="I16" s="29">
        <f>SUM(I7:I15)</f>
        <v>-53008.210000000021</v>
      </c>
      <c r="J16" s="29">
        <f>SUM(J7:J15)</f>
        <v>0</v>
      </c>
      <c r="K16" s="29">
        <f>SUM(K7:K15)</f>
        <v>0</v>
      </c>
      <c r="L16" s="85">
        <f>SUM(I16:K16)</f>
        <v>-53008.210000000021</v>
      </c>
      <c r="N16" s="6" t="s">
        <v>8</v>
      </c>
      <c r="O16" s="30">
        <f>SUM(O8:O15)</f>
        <v>0</v>
      </c>
    </row>
    <row r="17" spans="1:19" x14ac:dyDescent="0.2">
      <c r="G17" s="22"/>
      <c r="I17" s="22"/>
      <c r="J17" s="22"/>
      <c r="K17" s="22"/>
      <c r="L17" s="22"/>
    </row>
    <row r="18" spans="1:19" x14ac:dyDescent="0.2">
      <c r="D18" s="1" t="s">
        <v>69</v>
      </c>
      <c r="E18" s="24"/>
      <c r="G18" s="26"/>
      <c r="L18" s="25"/>
      <c r="Q18" s="52"/>
    </row>
    <row r="19" spans="1:19" x14ac:dyDescent="0.2">
      <c r="D19" s="24" t="s">
        <v>34</v>
      </c>
      <c r="G19" s="26"/>
      <c r="L19" s="25"/>
      <c r="Q19" s="52"/>
    </row>
    <row r="20" spans="1:19" x14ac:dyDescent="0.2">
      <c r="D20" s="23"/>
      <c r="E20" s="24" t="s">
        <v>35</v>
      </c>
      <c r="G20" s="26"/>
      <c r="L20" s="25"/>
      <c r="Q20" s="52"/>
      <c r="R20" s="71">
        <f>SUMIF(C18:C192,121,L18:L192)</f>
        <v>0</v>
      </c>
    </row>
    <row r="21" spans="1:19" x14ac:dyDescent="0.2">
      <c r="A21">
        <v>225</v>
      </c>
      <c r="B21">
        <v>33422</v>
      </c>
      <c r="D21" s="23"/>
      <c r="E21" s="42" t="s">
        <v>330</v>
      </c>
      <c r="G21" s="26"/>
      <c r="I21" s="3">
        <v>-2500</v>
      </c>
      <c r="L21" s="25">
        <f t="shared" ref="L21:L37" si="0">SUM(I21:K21)</f>
        <v>-2500</v>
      </c>
      <c r="M21" s="81">
        <v>4000</v>
      </c>
      <c r="Q21" s="52"/>
      <c r="R21" s="71"/>
    </row>
    <row r="22" spans="1:19" x14ac:dyDescent="0.2">
      <c r="A22">
        <v>225</v>
      </c>
      <c r="B22">
        <v>33471</v>
      </c>
      <c r="D22" s="23"/>
      <c r="E22" s="42" t="s">
        <v>206</v>
      </c>
      <c r="G22" s="26">
        <v>-21538.75</v>
      </c>
      <c r="I22" s="3">
        <v>-25119.37</v>
      </c>
      <c r="L22" s="25">
        <f t="shared" si="0"/>
        <v>-25119.37</v>
      </c>
      <c r="M22" s="81">
        <v>4000</v>
      </c>
      <c r="N22" s="6">
        <v>1</v>
      </c>
      <c r="O22" s="3">
        <f>SUM(L21:L24)</f>
        <v>-46448.369999999995</v>
      </c>
      <c r="P22" s="71" t="s">
        <v>44</v>
      </c>
      <c r="Q22" s="52">
        <v>0</v>
      </c>
      <c r="R22" s="52">
        <v>0</v>
      </c>
      <c r="S22" s="3"/>
    </row>
    <row r="23" spans="1:19" x14ac:dyDescent="0.2">
      <c r="A23">
        <v>225</v>
      </c>
      <c r="B23" t="s">
        <v>301</v>
      </c>
      <c r="D23" s="23"/>
      <c r="E23" s="42" t="s">
        <v>302</v>
      </c>
      <c r="G23" s="26">
        <v>-15725</v>
      </c>
      <c r="H23" s="4" t="s">
        <v>352</v>
      </c>
      <c r="J23" s="3">
        <v>-8829</v>
      </c>
      <c r="L23" s="25">
        <f>SUM(J23:K23)</f>
        <v>-8829</v>
      </c>
      <c r="M23" s="81">
        <v>4000</v>
      </c>
      <c r="N23" s="6">
        <v>1</v>
      </c>
      <c r="Q23" s="52"/>
      <c r="R23" s="52"/>
      <c r="S23" s="3"/>
    </row>
    <row r="24" spans="1:19" x14ac:dyDescent="0.2">
      <c r="A24">
        <v>225</v>
      </c>
      <c r="B24" t="s">
        <v>354</v>
      </c>
      <c r="D24" s="23"/>
      <c r="E24" s="42" t="s">
        <v>355</v>
      </c>
      <c r="G24" s="26"/>
      <c r="H24" s="4" t="s">
        <v>356</v>
      </c>
      <c r="J24" s="3">
        <v>-10000</v>
      </c>
      <c r="L24" s="25">
        <f>SUM(J24:K24)</f>
        <v>-10000</v>
      </c>
      <c r="M24" s="81">
        <v>4000</v>
      </c>
      <c r="Q24" s="52"/>
      <c r="R24" s="52"/>
      <c r="S24" s="3"/>
    </row>
    <row r="25" spans="1:19" x14ac:dyDescent="0.2">
      <c r="D25" s="23"/>
      <c r="E25" s="42"/>
      <c r="G25" s="26"/>
      <c r="L25" s="25"/>
      <c r="Q25" s="52"/>
      <c r="R25" s="52"/>
    </row>
    <row r="26" spans="1:19" x14ac:dyDescent="0.2">
      <c r="D26" s="39" t="s">
        <v>37</v>
      </c>
      <c r="E26" s="42"/>
      <c r="G26" s="26"/>
      <c r="L26" s="25"/>
      <c r="Q26" s="52"/>
      <c r="R26" s="52"/>
    </row>
    <row r="27" spans="1:19" x14ac:dyDescent="0.2">
      <c r="D27" s="23"/>
      <c r="E27" s="24" t="s">
        <v>40</v>
      </c>
      <c r="G27" s="26"/>
      <c r="L27" s="25"/>
      <c r="Q27" s="52"/>
      <c r="R27" s="52"/>
    </row>
    <row r="28" spans="1:19" x14ac:dyDescent="0.2">
      <c r="A28">
        <v>225</v>
      </c>
      <c r="B28">
        <v>34210</v>
      </c>
      <c r="D28" s="23"/>
      <c r="E28" s="42" t="s">
        <v>105</v>
      </c>
      <c r="G28" s="26">
        <v>0</v>
      </c>
      <c r="L28" s="25">
        <f t="shared" si="0"/>
        <v>0</v>
      </c>
      <c r="N28" s="6">
        <v>2</v>
      </c>
      <c r="O28" s="3">
        <f>SUM(L28:L31)</f>
        <v>-114198.89</v>
      </c>
      <c r="P28" s="71" t="s">
        <v>143</v>
      </c>
      <c r="Q28" s="52"/>
      <c r="R28" s="52"/>
      <c r="S28" s="3"/>
    </row>
    <row r="29" spans="1:19" x14ac:dyDescent="0.2">
      <c r="A29">
        <v>225</v>
      </c>
      <c r="B29">
        <v>34202</v>
      </c>
      <c r="D29" s="23"/>
      <c r="E29" s="42" t="s">
        <v>207</v>
      </c>
      <c r="G29" s="26">
        <v>-70803.94</v>
      </c>
      <c r="H29" s="4" t="s">
        <v>368</v>
      </c>
      <c r="I29" s="3">
        <v>-109323.89</v>
      </c>
      <c r="J29" s="3">
        <v>15944.14</v>
      </c>
      <c r="L29" s="25">
        <f t="shared" si="0"/>
        <v>-93379.75</v>
      </c>
      <c r="M29" s="81">
        <v>4003</v>
      </c>
      <c r="N29" s="6">
        <v>2</v>
      </c>
      <c r="Q29" s="52">
        <v>-86295</v>
      </c>
      <c r="R29" s="52">
        <v>-96082</v>
      </c>
      <c r="S29" s="3"/>
    </row>
    <row r="30" spans="1:19" x14ac:dyDescent="0.2">
      <c r="A30">
        <v>225</v>
      </c>
      <c r="B30">
        <v>34205</v>
      </c>
      <c r="D30" s="23"/>
      <c r="E30" s="42" t="s">
        <v>208</v>
      </c>
      <c r="G30" s="26">
        <v>-5909.62</v>
      </c>
      <c r="H30" s="4" t="s">
        <v>368</v>
      </c>
      <c r="J30" s="3">
        <v>-15944.14</v>
      </c>
      <c r="L30" s="25">
        <f t="shared" si="0"/>
        <v>-15944.14</v>
      </c>
      <c r="M30" s="81">
        <v>4003</v>
      </c>
      <c r="N30" s="6">
        <v>2</v>
      </c>
      <c r="Q30" s="52"/>
      <c r="R30" s="52"/>
      <c r="S30" s="3"/>
    </row>
    <row r="31" spans="1:19" x14ac:dyDescent="0.2">
      <c r="A31">
        <v>225</v>
      </c>
      <c r="B31">
        <v>34206</v>
      </c>
      <c r="D31" s="23"/>
      <c r="E31" s="42" t="s">
        <v>209</v>
      </c>
      <c r="G31" s="26">
        <v>-2000</v>
      </c>
      <c r="I31" s="3">
        <v>-4875</v>
      </c>
      <c r="L31" s="25">
        <f t="shared" si="0"/>
        <v>-4875</v>
      </c>
      <c r="M31" s="81">
        <v>4003</v>
      </c>
      <c r="N31" s="6">
        <v>2</v>
      </c>
      <c r="Q31" s="52"/>
      <c r="R31" s="52"/>
      <c r="S31" s="3"/>
    </row>
    <row r="32" spans="1:19" x14ac:dyDescent="0.2">
      <c r="D32" s="23"/>
      <c r="E32" s="42"/>
      <c r="G32" s="26"/>
      <c r="L32" s="25"/>
      <c r="Q32" s="52"/>
      <c r="R32" s="52"/>
    </row>
    <row r="33" spans="1:19" x14ac:dyDescent="0.2">
      <c r="D33" s="43" t="s">
        <v>81</v>
      </c>
      <c r="E33" s="42"/>
      <c r="G33" s="26"/>
      <c r="L33" s="25"/>
      <c r="Q33" s="52"/>
      <c r="R33" s="52"/>
    </row>
    <row r="34" spans="1:19" x14ac:dyDescent="0.2">
      <c r="A34">
        <v>225</v>
      </c>
      <c r="B34">
        <v>36210</v>
      </c>
      <c r="D34" s="23"/>
      <c r="E34" s="42" t="s">
        <v>12</v>
      </c>
      <c r="G34" s="26">
        <v>0</v>
      </c>
      <c r="L34" s="25">
        <f t="shared" si="0"/>
        <v>0</v>
      </c>
      <c r="N34" s="6">
        <v>4</v>
      </c>
      <c r="O34" s="3">
        <f>+L34</f>
        <v>0</v>
      </c>
      <c r="Q34" s="52"/>
      <c r="R34" s="52"/>
      <c r="S34" s="3"/>
    </row>
    <row r="35" spans="1:19" x14ac:dyDescent="0.2">
      <c r="A35">
        <v>225</v>
      </c>
      <c r="B35">
        <v>36230</v>
      </c>
      <c r="D35" s="23"/>
      <c r="E35" s="42" t="s">
        <v>106</v>
      </c>
      <c r="G35" s="26">
        <v>-5000</v>
      </c>
      <c r="H35" s="4" t="s">
        <v>356</v>
      </c>
      <c r="I35" s="3">
        <v>-20500</v>
      </c>
      <c r="J35" s="3">
        <v>10000</v>
      </c>
      <c r="L35" s="25">
        <f t="shared" si="0"/>
        <v>-10500</v>
      </c>
      <c r="M35" s="81">
        <v>4003</v>
      </c>
      <c r="N35" s="6">
        <v>5</v>
      </c>
      <c r="O35" s="3">
        <f>+L35</f>
        <v>-10500</v>
      </c>
      <c r="P35" s="71" t="s">
        <v>189</v>
      </c>
      <c r="Q35" s="52">
        <v>-1000</v>
      </c>
      <c r="R35" s="52">
        <v>-1000</v>
      </c>
      <c r="S35" s="3"/>
    </row>
    <row r="36" spans="1:19" x14ac:dyDescent="0.2">
      <c r="A36">
        <v>225</v>
      </c>
      <c r="B36">
        <v>36231</v>
      </c>
      <c r="D36" s="23"/>
      <c r="E36" s="42" t="s">
        <v>95</v>
      </c>
      <c r="G36" s="26">
        <v>0</v>
      </c>
      <c r="H36" s="4" t="s">
        <v>352</v>
      </c>
      <c r="I36" s="3">
        <v>-8829</v>
      </c>
      <c r="J36" s="3">
        <v>8829</v>
      </c>
      <c r="L36" s="25">
        <f t="shared" si="0"/>
        <v>0</v>
      </c>
      <c r="N36" s="6">
        <v>6</v>
      </c>
      <c r="O36" s="3">
        <f>+L36</f>
        <v>0</v>
      </c>
      <c r="Q36" s="52"/>
      <c r="R36" s="52"/>
      <c r="S36" s="3"/>
    </row>
    <row r="37" spans="1:19" x14ac:dyDescent="0.2">
      <c r="A37">
        <v>225</v>
      </c>
      <c r="B37">
        <v>36280</v>
      </c>
      <c r="D37" s="23"/>
      <c r="E37" s="42" t="s">
        <v>144</v>
      </c>
      <c r="G37" s="26">
        <v>0</v>
      </c>
      <c r="L37" s="25">
        <f t="shared" si="0"/>
        <v>0</v>
      </c>
      <c r="N37" s="6">
        <v>7</v>
      </c>
      <c r="O37" s="3">
        <f>+L37</f>
        <v>0</v>
      </c>
      <c r="Q37" s="52"/>
      <c r="R37" s="52"/>
      <c r="S37" s="3">
        <f>+R37</f>
        <v>0</v>
      </c>
    </row>
    <row r="38" spans="1:19" x14ac:dyDescent="0.2">
      <c r="D38" s="23"/>
      <c r="E38" s="42"/>
      <c r="G38" s="26"/>
      <c r="L38" s="25"/>
      <c r="Q38" s="52"/>
      <c r="R38" s="52"/>
    </row>
    <row r="39" spans="1:19" x14ac:dyDescent="0.2">
      <c r="D39" s="39" t="s">
        <v>66</v>
      </c>
      <c r="E39" s="42"/>
      <c r="G39" s="26"/>
      <c r="L39" s="25"/>
      <c r="Q39" s="52"/>
      <c r="R39" s="52"/>
    </row>
    <row r="40" spans="1:19" x14ac:dyDescent="0.2">
      <c r="A40">
        <v>225</v>
      </c>
      <c r="B40">
        <v>39201</v>
      </c>
      <c r="D40" s="23"/>
      <c r="E40" s="42" t="s">
        <v>135</v>
      </c>
      <c r="G40" s="26">
        <v>-13000</v>
      </c>
      <c r="H40" s="4" t="s">
        <v>359</v>
      </c>
      <c r="J40" s="3">
        <v>-69563.81</v>
      </c>
      <c r="L40" s="25">
        <f>SUM(I40:K40)</f>
        <v>-69563.81</v>
      </c>
      <c r="M40" s="81">
        <v>390</v>
      </c>
      <c r="N40" s="6" t="s">
        <v>10</v>
      </c>
      <c r="O40" s="3">
        <f>+L40</f>
        <v>-69563.81</v>
      </c>
      <c r="Q40" s="52">
        <v>-13000</v>
      </c>
      <c r="R40" s="52">
        <v>-13641</v>
      </c>
    </row>
    <row r="41" spans="1:19" x14ac:dyDescent="0.2">
      <c r="A41">
        <v>225</v>
      </c>
      <c r="B41">
        <v>39206</v>
      </c>
      <c r="D41" s="23"/>
      <c r="E41" s="42" t="s">
        <v>303</v>
      </c>
      <c r="G41" s="26"/>
      <c r="L41" s="25"/>
      <c r="Q41" s="52"/>
      <c r="R41" s="52"/>
    </row>
    <row r="42" spans="1:19" x14ac:dyDescent="0.2">
      <c r="A42">
        <v>225</v>
      </c>
      <c r="B42">
        <v>39990</v>
      </c>
      <c r="D42" s="23"/>
      <c r="E42" s="42" t="s">
        <v>157</v>
      </c>
      <c r="G42" s="26">
        <v>0</v>
      </c>
      <c r="L42" s="25">
        <f>SUM(I42:K42)</f>
        <v>0</v>
      </c>
      <c r="N42" s="6" t="s">
        <v>153</v>
      </c>
      <c r="O42" s="3">
        <f>+L42</f>
        <v>0</v>
      </c>
      <c r="Q42" s="52"/>
      <c r="R42" s="52"/>
      <c r="S42" s="3">
        <f>+R42</f>
        <v>0</v>
      </c>
    </row>
    <row r="43" spans="1:19" x14ac:dyDescent="0.2">
      <c r="D43" s="23"/>
      <c r="E43" s="42"/>
      <c r="G43" s="26"/>
      <c r="L43" s="25"/>
      <c r="Q43" s="52"/>
      <c r="R43" s="52"/>
    </row>
    <row r="44" spans="1:19" x14ac:dyDescent="0.2">
      <c r="D44" s="23"/>
      <c r="E44" s="24"/>
      <c r="G44" s="29">
        <f>SUM(G19:G43)</f>
        <v>-133977.31</v>
      </c>
      <c r="I44" s="29">
        <f>SUM(I19:I43)</f>
        <v>-171147.26</v>
      </c>
      <c r="J44" s="29">
        <f>SUM(J19:J43)</f>
        <v>-69563.81</v>
      </c>
      <c r="K44" s="29">
        <f>SUM(K19:K43)</f>
        <v>0</v>
      </c>
      <c r="L44" s="29">
        <f>SUM(L19:L43)</f>
        <v>-240711.07</v>
      </c>
      <c r="O44" s="30">
        <f>SUM(O20:O43)</f>
        <v>-240711.07</v>
      </c>
      <c r="Q44" s="49">
        <f>SUM(Q20:Q43)</f>
        <v>-100295</v>
      </c>
      <c r="R44" s="49">
        <f>SUM(R20:R43)</f>
        <v>-110723</v>
      </c>
      <c r="S44" s="49">
        <f>SUM(S20:S43)</f>
        <v>0</v>
      </c>
    </row>
    <row r="45" spans="1:19" x14ac:dyDescent="0.2">
      <c r="D45" s="23"/>
      <c r="E45" s="24"/>
      <c r="F45" s="77"/>
      <c r="G45" s="26"/>
      <c r="L45" s="25"/>
      <c r="Q45" s="52"/>
    </row>
    <row r="46" spans="1:19" x14ac:dyDescent="0.2">
      <c r="D46" s="23"/>
      <c r="E46" s="24"/>
      <c r="G46" s="26"/>
      <c r="L46" s="25"/>
      <c r="O46" s="3">
        <f>SUM(L53:L59)</f>
        <v>0</v>
      </c>
      <c r="P46" s="71" t="s">
        <v>312</v>
      </c>
      <c r="Q46" s="52">
        <f>SUM(Q54:Q59)</f>
        <v>0</v>
      </c>
      <c r="R46" s="52">
        <f>SUM(R54:R59)</f>
        <v>0</v>
      </c>
    </row>
    <row r="47" spans="1:19" x14ac:dyDescent="0.2">
      <c r="D47" s="23"/>
      <c r="E47" s="24"/>
      <c r="G47" s="26"/>
      <c r="L47" s="25"/>
      <c r="O47" s="3">
        <v>0</v>
      </c>
      <c r="P47" s="71" t="s">
        <v>313</v>
      </c>
      <c r="Q47" s="52">
        <f>Q61</f>
        <v>0</v>
      </c>
      <c r="R47" s="52">
        <f>R61</f>
        <v>0</v>
      </c>
    </row>
    <row r="48" spans="1:19" x14ac:dyDescent="0.2">
      <c r="D48" s="23"/>
      <c r="E48" s="24"/>
      <c r="G48" s="26"/>
      <c r="L48" s="25"/>
      <c r="O48" s="3">
        <f>SUM(L63:L87,L92)</f>
        <v>121743.33000000002</v>
      </c>
      <c r="P48" s="71" t="s">
        <v>314</v>
      </c>
      <c r="Q48" s="52">
        <f>SUM(Q63:Q87)</f>
        <v>71470</v>
      </c>
      <c r="R48" s="52">
        <f>SUM(R63:R87)</f>
        <v>71506</v>
      </c>
    </row>
    <row r="49" spans="1:18" x14ac:dyDescent="0.2">
      <c r="D49" s="23"/>
      <c r="E49" s="24"/>
      <c r="G49" s="26"/>
      <c r="L49" s="25"/>
      <c r="O49" s="3">
        <f>SUM(L88:L89,L93:L96)</f>
        <v>107039.48999999999</v>
      </c>
      <c r="P49" s="71" t="s">
        <v>315</v>
      </c>
      <c r="Q49" s="52">
        <f t="shared" ref="Q49:R51" si="1">Q89</f>
        <v>350000</v>
      </c>
      <c r="R49" s="52">
        <f t="shared" si="1"/>
        <v>460000</v>
      </c>
    </row>
    <row r="50" spans="1:18" x14ac:dyDescent="0.2">
      <c r="D50" s="23"/>
      <c r="E50" s="24"/>
      <c r="G50" s="26"/>
      <c r="L50" s="25"/>
      <c r="O50" s="3">
        <f>SUM(L90)</f>
        <v>0</v>
      </c>
      <c r="P50" s="71" t="s">
        <v>316</v>
      </c>
      <c r="Q50" s="52">
        <f t="shared" si="1"/>
        <v>0</v>
      </c>
      <c r="R50" s="52">
        <f t="shared" si="1"/>
        <v>0</v>
      </c>
    </row>
    <row r="51" spans="1:18" x14ac:dyDescent="0.2">
      <c r="D51" s="1" t="s">
        <v>13</v>
      </c>
      <c r="E51" s="24"/>
      <c r="G51" s="26"/>
      <c r="L51" s="25"/>
      <c r="O51" s="3">
        <f>SUM(L91)</f>
        <v>0</v>
      </c>
      <c r="P51" s="71" t="s">
        <v>317</v>
      </c>
      <c r="Q51" s="48">
        <f t="shared" si="1"/>
        <v>0</v>
      </c>
      <c r="R51" s="48">
        <f t="shared" si="1"/>
        <v>0</v>
      </c>
    </row>
    <row r="52" spans="1:18" x14ac:dyDescent="0.2">
      <c r="D52" s="39" t="s">
        <v>40</v>
      </c>
      <c r="E52" s="24"/>
      <c r="G52" s="26"/>
      <c r="L52" s="25"/>
    </row>
    <row r="53" spans="1:18" x14ac:dyDescent="0.2">
      <c r="D53" s="39"/>
      <c r="E53" s="24" t="s">
        <v>268</v>
      </c>
      <c r="G53" s="26"/>
      <c r="L53" s="25"/>
      <c r="P53">
        <f>SUMIF(C56:C241,"121",L56:L241)</f>
        <v>0</v>
      </c>
    </row>
    <row r="54" spans="1:18" x14ac:dyDescent="0.2">
      <c r="A54">
        <v>225</v>
      </c>
      <c r="B54">
        <v>42153</v>
      </c>
      <c r="C54">
        <v>208</v>
      </c>
      <c r="D54" s="39"/>
      <c r="E54" s="42" t="s">
        <v>91</v>
      </c>
      <c r="G54" s="26">
        <v>888.43</v>
      </c>
      <c r="L54" s="25">
        <f t="shared" ref="L54:L63" si="2">SUM(I54:K54)</f>
        <v>0</v>
      </c>
      <c r="N54" s="6" t="s">
        <v>14</v>
      </c>
      <c r="Q54" s="52"/>
      <c r="R54" s="52"/>
    </row>
    <row r="55" spans="1:18" x14ac:dyDescent="0.2">
      <c r="A55">
        <v>225</v>
      </c>
      <c r="B55">
        <v>42153</v>
      </c>
      <c r="C55">
        <v>228</v>
      </c>
      <c r="D55" s="39"/>
      <c r="E55" s="42" t="s">
        <v>139</v>
      </c>
      <c r="G55" s="26">
        <v>0</v>
      </c>
      <c r="L55" s="25">
        <f t="shared" si="2"/>
        <v>0</v>
      </c>
      <c r="N55" s="6" t="s">
        <v>14</v>
      </c>
      <c r="Q55" s="52"/>
      <c r="R55" s="52"/>
    </row>
    <row r="56" spans="1:18" x14ac:dyDescent="0.2">
      <c r="A56">
        <v>225</v>
      </c>
      <c r="B56">
        <v>42153</v>
      </c>
      <c r="C56">
        <v>304</v>
      </c>
      <c r="D56" s="39"/>
      <c r="E56" s="42" t="s">
        <v>152</v>
      </c>
      <c r="G56" s="26">
        <v>487.5</v>
      </c>
      <c r="L56" s="25">
        <f t="shared" si="2"/>
        <v>0</v>
      </c>
      <c r="N56" s="6" t="s">
        <v>14</v>
      </c>
      <c r="Q56" s="52"/>
      <c r="R56" s="52"/>
    </row>
    <row r="57" spans="1:18" x14ac:dyDescent="0.2">
      <c r="A57">
        <v>225</v>
      </c>
      <c r="B57">
        <v>42153</v>
      </c>
      <c r="C57">
        <v>310</v>
      </c>
      <c r="D57" s="39"/>
      <c r="E57" s="42" t="s">
        <v>211</v>
      </c>
      <c r="G57" s="26">
        <v>1100</v>
      </c>
      <c r="L57" s="25">
        <f t="shared" si="2"/>
        <v>0</v>
      </c>
      <c r="N57" s="6" t="s">
        <v>14</v>
      </c>
      <c r="Q57" s="52"/>
      <c r="R57" s="52"/>
    </row>
    <row r="58" spans="1:18" x14ac:dyDescent="0.2">
      <c r="A58">
        <v>225</v>
      </c>
      <c r="B58">
        <v>42153</v>
      </c>
      <c r="C58">
        <v>331</v>
      </c>
      <c r="D58" s="39"/>
      <c r="E58" s="42" t="s">
        <v>146</v>
      </c>
      <c r="G58" s="26">
        <v>0</v>
      </c>
      <c r="L58" s="25">
        <f t="shared" si="2"/>
        <v>0</v>
      </c>
      <c r="N58" s="6" t="s">
        <v>14</v>
      </c>
      <c r="Q58" s="52"/>
      <c r="R58" s="52"/>
    </row>
    <row r="59" spans="1:18" x14ac:dyDescent="0.2">
      <c r="A59">
        <v>225</v>
      </c>
      <c r="B59">
        <v>42153</v>
      </c>
      <c r="C59">
        <v>365</v>
      </c>
      <c r="D59" s="39"/>
      <c r="E59" s="42" t="s">
        <v>298</v>
      </c>
      <c r="G59" s="26">
        <v>447</v>
      </c>
      <c r="L59" s="25">
        <f t="shared" si="2"/>
        <v>0</v>
      </c>
      <c r="N59" s="6" t="s">
        <v>14</v>
      </c>
      <c r="Q59" s="52"/>
      <c r="R59" s="52"/>
    </row>
    <row r="60" spans="1:18" x14ac:dyDescent="0.2">
      <c r="A60">
        <v>226</v>
      </c>
      <c r="B60">
        <v>41911</v>
      </c>
      <c r="C60">
        <v>384</v>
      </c>
      <c r="D60" s="39"/>
      <c r="E60" s="42" t="s">
        <v>168</v>
      </c>
      <c r="G60" s="26">
        <v>0</v>
      </c>
      <c r="L60" s="25">
        <v>0</v>
      </c>
      <c r="N60" s="6" t="s">
        <v>14</v>
      </c>
      <c r="Q60" s="52">
        <v>250</v>
      </c>
      <c r="R60" s="52">
        <v>250</v>
      </c>
    </row>
    <row r="61" spans="1:18" x14ac:dyDescent="0.2">
      <c r="A61">
        <v>225</v>
      </c>
      <c r="B61">
        <v>42153</v>
      </c>
      <c r="C61">
        <v>580</v>
      </c>
      <c r="D61" s="39"/>
      <c r="E61" s="42" t="s">
        <v>263</v>
      </c>
      <c r="G61" s="26">
        <v>0</v>
      </c>
      <c r="L61" s="25">
        <f t="shared" si="2"/>
        <v>0</v>
      </c>
      <c r="N61" s="6" t="s">
        <v>15</v>
      </c>
      <c r="Q61" s="52"/>
      <c r="R61" s="52"/>
    </row>
    <row r="62" spans="1:18" x14ac:dyDescent="0.2">
      <c r="D62" s="39"/>
      <c r="E62" s="24" t="s">
        <v>269</v>
      </c>
      <c r="G62" s="26"/>
      <c r="L62" s="25"/>
      <c r="Q62" s="52"/>
      <c r="R62" s="52"/>
    </row>
    <row r="63" spans="1:18" x14ac:dyDescent="0.2">
      <c r="A63">
        <v>225</v>
      </c>
      <c r="B63">
        <v>42211</v>
      </c>
      <c r="C63">
        <v>103</v>
      </c>
      <c r="D63" s="39"/>
      <c r="E63" s="42" t="s">
        <v>213</v>
      </c>
      <c r="G63" s="26">
        <v>10019.92</v>
      </c>
      <c r="I63" s="3">
        <v>9825.99</v>
      </c>
      <c r="L63" s="25">
        <f t="shared" si="2"/>
        <v>9825.99</v>
      </c>
      <c r="N63" s="6" t="s">
        <v>16</v>
      </c>
      <c r="Q63" s="52">
        <v>11800</v>
      </c>
      <c r="R63" s="52">
        <v>11800</v>
      </c>
    </row>
    <row r="64" spans="1:18" x14ac:dyDescent="0.2">
      <c r="A64">
        <v>225</v>
      </c>
      <c r="B64">
        <v>42211</v>
      </c>
      <c r="C64">
        <v>108</v>
      </c>
      <c r="D64" s="39"/>
      <c r="E64" s="42" t="s">
        <v>215</v>
      </c>
      <c r="G64" s="26">
        <v>157.52000000000001</v>
      </c>
      <c r="I64" s="3">
        <v>154.33000000000001</v>
      </c>
      <c r="L64" s="25">
        <f t="shared" ref="L64:L96" si="3">SUM(I64:K64)</f>
        <v>154.33000000000001</v>
      </c>
      <c r="N64" s="6" t="s">
        <v>16</v>
      </c>
      <c r="Q64" s="52">
        <v>171</v>
      </c>
      <c r="R64" s="52">
        <v>171</v>
      </c>
    </row>
    <row r="65" spans="1:18" x14ac:dyDescent="0.2">
      <c r="A65">
        <v>225</v>
      </c>
      <c r="B65">
        <v>42211</v>
      </c>
      <c r="C65">
        <v>113</v>
      </c>
      <c r="D65" s="39"/>
      <c r="E65" s="42" t="s">
        <v>271</v>
      </c>
      <c r="G65" s="26">
        <v>673.31</v>
      </c>
      <c r="I65" s="3">
        <v>659.68</v>
      </c>
      <c r="L65" s="25">
        <f t="shared" si="3"/>
        <v>659.68</v>
      </c>
      <c r="N65" s="6" t="s">
        <v>16</v>
      </c>
      <c r="Q65" s="52">
        <v>732</v>
      </c>
      <c r="R65" s="52">
        <v>732</v>
      </c>
    </row>
    <row r="66" spans="1:18" x14ac:dyDescent="0.2">
      <c r="A66">
        <v>225</v>
      </c>
      <c r="B66">
        <v>42211</v>
      </c>
      <c r="C66">
        <v>122</v>
      </c>
      <c r="D66" s="39"/>
      <c r="E66" s="42" t="s">
        <v>246</v>
      </c>
      <c r="G66" s="26">
        <v>673.89</v>
      </c>
      <c r="I66" s="3">
        <v>659.68</v>
      </c>
      <c r="L66" s="25">
        <f t="shared" si="3"/>
        <v>659.68</v>
      </c>
      <c r="N66" s="6" t="s">
        <v>16</v>
      </c>
      <c r="Q66" s="52">
        <v>732</v>
      </c>
      <c r="R66" s="52">
        <v>732</v>
      </c>
    </row>
    <row r="67" spans="1:18" x14ac:dyDescent="0.2">
      <c r="A67">
        <v>225</v>
      </c>
      <c r="B67">
        <v>42211</v>
      </c>
      <c r="C67">
        <v>133</v>
      </c>
      <c r="D67" s="39"/>
      <c r="E67" s="42" t="s">
        <v>270</v>
      </c>
      <c r="G67" s="26">
        <v>242</v>
      </c>
      <c r="I67" s="3">
        <v>232</v>
      </c>
      <c r="L67" s="25">
        <f t="shared" si="3"/>
        <v>232</v>
      </c>
      <c r="N67" s="6" t="s">
        <v>16</v>
      </c>
      <c r="Q67" s="52">
        <v>294</v>
      </c>
      <c r="R67" s="52">
        <v>294</v>
      </c>
    </row>
    <row r="68" spans="1:18" x14ac:dyDescent="0.2">
      <c r="A68">
        <v>225</v>
      </c>
      <c r="B68">
        <v>42211</v>
      </c>
      <c r="C68">
        <v>135</v>
      </c>
      <c r="D68" s="39"/>
      <c r="E68" s="42" t="s">
        <v>247</v>
      </c>
      <c r="G68" s="26">
        <v>156.94</v>
      </c>
      <c r="I68" s="3">
        <v>154.33000000000001</v>
      </c>
      <c r="L68" s="25">
        <f t="shared" si="3"/>
        <v>154.33000000000001</v>
      </c>
      <c r="N68" s="6" t="s">
        <v>16</v>
      </c>
      <c r="Q68" s="52">
        <v>171</v>
      </c>
      <c r="R68" s="52">
        <v>171</v>
      </c>
    </row>
    <row r="69" spans="1:18" x14ac:dyDescent="0.2">
      <c r="A69">
        <v>225</v>
      </c>
      <c r="B69">
        <v>42211</v>
      </c>
      <c r="C69">
        <v>208</v>
      </c>
      <c r="D69" s="39"/>
      <c r="E69" s="42" t="s">
        <v>380</v>
      </c>
      <c r="G69" s="26">
        <v>23.68</v>
      </c>
      <c r="H69" s="4" t="s">
        <v>382</v>
      </c>
      <c r="I69" s="3">
        <v>10810.54</v>
      </c>
      <c r="J69" s="3">
        <f>1758+1403.6</f>
        <v>3161.6</v>
      </c>
      <c r="L69" s="25">
        <f t="shared" si="3"/>
        <v>13972.140000000001</v>
      </c>
      <c r="N69" s="6" t="s">
        <v>16</v>
      </c>
      <c r="Q69" s="52">
        <v>3000</v>
      </c>
      <c r="R69" s="52">
        <v>3000</v>
      </c>
    </row>
    <row r="70" spans="1:18" x14ac:dyDescent="0.2">
      <c r="A70">
        <v>225</v>
      </c>
      <c r="B70">
        <v>42211</v>
      </c>
      <c r="C70">
        <v>212</v>
      </c>
      <c r="D70" s="39"/>
      <c r="E70" s="42" t="s">
        <v>150</v>
      </c>
      <c r="G70" s="26">
        <v>2600.7800000000002</v>
      </c>
      <c r="I70" s="3">
        <v>1263.8900000000001</v>
      </c>
      <c r="L70" s="25">
        <f t="shared" si="3"/>
        <v>1263.8900000000001</v>
      </c>
      <c r="N70" s="6" t="s">
        <v>16</v>
      </c>
      <c r="Q70" s="52">
        <v>2500</v>
      </c>
      <c r="R70" s="52">
        <v>2500</v>
      </c>
    </row>
    <row r="71" spans="1:18" x14ac:dyDescent="0.2">
      <c r="A71">
        <v>225</v>
      </c>
      <c r="B71">
        <v>42211</v>
      </c>
      <c r="C71">
        <v>228</v>
      </c>
      <c r="D71" s="39"/>
      <c r="E71" s="42" t="s">
        <v>139</v>
      </c>
      <c r="G71" s="26">
        <v>14157.150000000001</v>
      </c>
      <c r="I71" s="3">
        <v>16394.310000000001</v>
      </c>
      <c r="L71" s="25">
        <f t="shared" si="3"/>
        <v>16394.310000000001</v>
      </c>
      <c r="N71" s="6" t="s">
        <v>16</v>
      </c>
      <c r="Q71" s="52">
        <v>12000</v>
      </c>
      <c r="R71" s="52">
        <v>12000</v>
      </c>
    </row>
    <row r="72" spans="1:18" x14ac:dyDescent="0.2">
      <c r="A72">
        <v>225</v>
      </c>
      <c r="B72">
        <v>42211</v>
      </c>
      <c r="C72">
        <v>309</v>
      </c>
      <c r="D72" s="39"/>
      <c r="E72" s="42" t="s">
        <v>78</v>
      </c>
      <c r="G72" s="26">
        <v>257.25</v>
      </c>
      <c r="I72" s="3">
        <v>749.65</v>
      </c>
      <c r="L72" s="25">
        <f t="shared" si="3"/>
        <v>749.65</v>
      </c>
      <c r="N72" s="6" t="s">
        <v>16</v>
      </c>
      <c r="Q72" s="52">
        <v>500</v>
      </c>
      <c r="R72" s="52">
        <v>500</v>
      </c>
    </row>
    <row r="73" spans="1:18" x14ac:dyDescent="0.2">
      <c r="A73">
        <v>225</v>
      </c>
      <c r="B73">
        <v>42211</v>
      </c>
      <c r="C73">
        <v>310</v>
      </c>
      <c r="D73" s="39"/>
      <c r="E73" s="42" t="s">
        <v>211</v>
      </c>
      <c r="G73" s="26">
        <v>15874.86</v>
      </c>
      <c r="I73" s="3">
        <v>4050.43</v>
      </c>
      <c r="L73" s="25">
        <f t="shared" si="3"/>
        <v>4050.43</v>
      </c>
      <c r="N73" s="6" t="s">
        <v>16</v>
      </c>
      <c r="Q73" s="52">
        <v>17000</v>
      </c>
      <c r="R73" s="52">
        <v>17000</v>
      </c>
    </row>
    <row r="74" spans="1:18" x14ac:dyDescent="0.2">
      <c r="A74">
        <v>225</v>
      </c>
      <c r="B74">
        <v>42211</v>
      </c>
      <c r="C74">
        <v>315</v>
      </c>
      <c r="D74" s="39"/>
      <c r="E74" s="42" t="s">
        <v>272</v>
      </c>
      <c r="G74" s="26">
        <v>1540</v>
      </c>
      <c r="I74" s="3">
        <v>1580</v>
      </c>
      <c r="L74" s="25">
        <f t="shared" si="3"/>
        <v>1580</v>
      </c>
      <c r="N74" s="6" t="s">
        <v>16</v>
      </c>
      <c r="Q74" s="52">
        <v>3000</v>
      </c>
      <c r="R74" s="52">
        <v>3000</v>
      </c>
    </row>
    <row r="75" spans="1:18" x14ac:dyDescent="0.2">
      <c r="A75">
        <v>225</v>
      </c>
      <c r="B75">
        <v>42211</v>
      </c>
      <c r="C75">
        <v>323</v>
      </c>
      <c r="D75" s="39"/>
      <c r="E75" s="42" t="s">
        <v>273</v>
      </c>
      <c r="G75" s="26">
        <v>276.14999999999998</v>
      </c>
      <c r="I75" s="3">
        <v>2388</v>
      </c>
      <c r="L75" s="25">
        <f t="shared" si="3"/>
        <v>2388</v>
      </c>
      <c r="N75" s="6" t="s">
        <v>16</v>
      </c>
      <c r="Q75" s="52">
        <v>2000</v>
      </c>
      <c r="R75" s="52">
        <v>2000</v>
      </c>
    </row>
    <row r="76" spans="1:18" x14ac:dyDescent="0.2">
      <c r="A76">
        <v>225</v>
      </c>
      <c r="B76">
        <v>42211</v>
      </c>
      <c r="C76">
        <v>325</v>
      </c>
      <c r="D76" s="39"/>
      <c r="E76" s="42" t="s">
        <v>337</v>
      </c>
      <c r="G76" s="26">
        <v>0</v>
      </c>
      <c r="I76" s="3">
        <v>604.91999999999996</v>
      </c>
      <c r="L76" s="25">
        <f t="shared" si="3"/>
        <v>604.91999999999996</v>
      </c>
      <c r="Q76" s="52"/>
      <c r="R76" s="52"/>
    </row>
    <row r="77" spans="1:18" x14ac:dyDescent="0.2">
      <c r="A77">
        <v>225</v>
      </c>
      <c r="B77">
        <v>42211</v>
      </c>
      <c r="C77">
        <v>331</v>
      </c>
      <c r="D77" s="39"/>
      <c r="E77" s="42" t="s">
        <v>192</v>
      </c>
      <c r="G77" s="26">
        <v>439.97</v>
      </c>
      <c r="I77" s="3">
        <v>594.57000000000005</v>
      </c>
      <c r="L77" s="25">
        <f t="shared" si="3"/>
        <v>594.57000000000005</v>
      </c>
      <c r="N77" s="6" t="s">
        <v>16</v>
      </c>
      <c r="Q77" s="52">
        <v>550</v>
      </c>
      <c r="R77" s="52">
        <v>550</v>
      </c>
    </row>
    <row r="78" spans="1:18" x14ac:dyDescent="0.2">
      <c r="A78">
        <v>225</v>
      </c>
      <c r="B78">
        <v>42211</v>
      </c>
      <c r="C78">
        <v>334</v>
      </c>
      <c r="D78" s="39"/>
      <c r="E78" s="42" t="s">
        <v>224</v>
      </c>
      <c r="G78" s="26">
        <v>0</v>
      </c>
      <c r="I78" s="3">
        <v>409.48</v>
      </c>
      <c r="L78" s="25">
        <f t="shared" si="3"/>
        <v>409.48</v>
      </c>
      <c r="Q78" s="52"/>
      <c r="R78" s="52"/>
    </row>
    <row r="79" spans="1:18" x14ac:dyDescent="0.2">
      <c r="A79">
        <v>225</v>
      </c>
      <c r="B79">
        <v>42211</v>
      </c>
      <c r="C79">
        <v>343</v>
      </c>
      <c r="D79" s="39"/>
      <c r="E79" s="42" t="s">
        <v>274</v>
      </c>
      <c r="G79" s="26">
        <v>0</v>
      </c>
      <c r="L79" s="25">
        <f t="shared" si="3"/>
        <v>0</v>
      </c>
      <c r="N79" s="6" t="s">
        <v>16</v>
      </c>
      <c r="Q79" s="52">
        <v>300</v>
      </c>
      <c r="R79" s="52">
        <v>300</v>
      </c>
    </row>
    <row r="80" spans="1:18" x14ac:dyDescent="0.2">
      <c r="A80">
        <v>225</v>
      </c>
      <c r="B80">
        <v>42211</v>
      </c>
      <c r="C80">
        <v>365</v>
      </c>
      <c r="D80" s="39"/>
      <c r="E80" s="42" t="s">
        <v>275</v>
      </c>
      <c r="G80" s="26">
        <v>6579</v>
      </c>
      <c r="I80" s="3">
        <v>6912</v>
      </c>
      <c r="L80" s="25">
        <f t="shared" si="3"/>
        <v>6912</v>
      </c>
      <c r="N80" s="6" t="s">
        <v>16</v>
      </c>
      <c r="Q80" s="52">
        <v>6579</v>
      </c>
      <c r="R80" s="52">
        <v>6579</v>
      </c>
    </row>
    <row r="81" spans="1:18" x14ac:dyDescent="0.2">
      <c r="A81">
        <v>225</v>
      </c>
      <c r="B81">
        <v>42211</v>
      </c>
      <c r="C81">
        <v>366</v>
      </c>
      <c r="D81" s="39"/>
      <c r="E81" s="42" t="s">
        <v>77</v>
      </c>
      <c r="G81" s="26">
        <v>5125</v>
      </c>
      <c r="I81" s="3">
        <v>5125</v>
      </c>
      <c r="L81" s="25">
        <f t="shared" si="3"/>
        <v>5125</v>
      </c>
      <c r="N81" s="6" t="s">
        <v>16</v>
      </c>
      <c r="Q81" s="52">
        <v>5125</v>
      </c>
      <c r="R81" s="52">
        <v>5125</v>
      </c>
    </row>
    <row r="82" spans="1:18" x14ac:dyDescent="0.2">
      <c r="A82">
        <v>225</v>
      </c>
      <c r="B82">
        <v>42211</v>
      </c>
      <c r="C82">
        <v>381</v>
      </c>
      <c r="D82" s="39"/>
      <c r="E82" s="42" t="s">
        <v>84</v>
      </c>
      <c r="G82" s="26">
        <v>1100.6500000000001</v>
      </c>
      <c r="I82" s="3">
        <v>1119.08</v>
      </c>
      <c r="L82" s="25">
        <f t="shared" si="3"/>
        <v>1119.08</v>
      </c>
      <c r="N82" s="6" t="s">
        <v>16</v>
      </c>
      <c r="Q82" s="52">
        <v>1200</v>
      </c>
      <c r="R82" s="52">
        <v>1200</v>
      </c>
    </row>
    <row r="83" spans="1:18" x14ac:dyDescent="0.2">
      <c r="A83">
        <v>225</v>
      </c>
      <c r="B83">
        <v>42211</v>
      </c>
      <c r="C83">
        <v>382</v>
      </c>
      <c r="D83" s="39"/>
      <c r="E83" s="42" t="s">
        <v>234</v>
      </c>
      <c r="G83" s="26">
        <v>528</v>
      </c>
      <c r="I83" s="3">
        <v>540</v>
      </c>
      <c r="L83" s="25">
        <f t="shared" si="3"/>
        <v>540</v>
      </c>
      <c r="N83" s="6" t="s">
        <v>16</v>
      </c>
      <c r="Q83" s="52">
        <v>516</v>
      </c>
      <c r="R83" s="52">
        <v>528</v>
      </c>
    </row>
    <row r="84" spans="1:18" x14ac:dyDescent="0.2">
      <c r="A84">
        <v>225</v>
      </c>
      <c r="B84">
        <v>42211</v>
      </c>
      <c r="C84">
        <v>383</v>
      </c>
      <c r="D84" s="39"/>
      <c r="E84" s="42" t="s">
        <v>148</v>
      </c>
      <c r="G84" s="26">
        <v>1611.92</v>
      </c>
      <c r="I84" s="3">
        <v>1472.48</v>
      </c>
      <c r="L84" s="25">
        <f t="shared" si="3"/>
        <v>1472.48</v>
      </c>
      <c r="N84" s="6" t="s">
        <v>16</v>
      </c>
      <c r="Q84" s="52">
        <v>2000</v>
      </c>
      <c r="R84" s="52">
        <v>2000</v>
      </c>
    </row>
    <row r="85" spans="1:18" x14ac:dyDescent="0.2">
      <c r="A85">
        <v>225</v>
      </c>
      <c r="B85">
        <v>42211</v>
      </c>
      <c r="C85">
        <v>385</v>
      </c>
      <c r="D85" s="39"/>
      <c r="E85" s="42" t="s">
        <v>235</v>
      </c>
      <c r="G85" s="26">
        <v>324</v>
      </c>
      <c r="I85" s="3">
        <v>348</v>
      </c>
      <c r="L85" s="25">
        <f t="shared" si="3"/>
        <v>348</v>
      </c>
      <c r="N85" s="6" t="s">
        <v>16</v>
      </c>
      <c r="Q85" s="52">
        <v>300</v>
      </c>
      <c r="R85" s="52">
        <v>324</v>
      </c>
    </row>
    <row r="86" spans="1:18" x14ac:dyDescent="0.2">
      <c r="A86">
        <v>225</v>
      </c>
      <c r="B86">
        <v>42211</v>
      </c>
      <c r="C86">
        <v>433</v>
      </c>
      <c r="D86" s="39"/>
      <c r="E86" s="42" t="s">
        <v>97</v>
      </c>
      <c r="G86" s="26">
        <v>590</v>
      </c>
      <c r="I86" s="3">
        <v>355</v>
      </c>
      <c r="L86" s="25">
        <f t="shared" si="3"/>
        <v>355</v>
      </c>
      <c r="N86" s="6" t="s">
        <v>16</v>
      </c>
      <c r="Q86" s="52">
        <v>500</v>
      </c>
      <c r="R86" s="52">
        <v>500</v>
      </c>
    </row>
    <row r="87" spans="1:18" x14ac:dyDescent="0.2">
      <c r="A87">
        <v>225</v>
      </c>
      <c r="B87">
        <v>42211</v>
      </c>
      <c r="C87">
        <v>437</v>
      </c>
      <c r="D87" s="39"/>
      <c r="E87" s="42" t="s">
        <v>46</v>
      </c>
      <c r="G87" s="26">
        <v>0</v>
      </c>
      <c r="I87" s="3">
        <v>1520.25</v>
      </c>
      <c r="L87" s="25">
        <f t="shared" si="3"/>
        <v>1520.25</v>
      </c>
      <c r="N87" s="6" t="s">
        <v>16</v>
      </c>
      <c r="Q87" s="52">
        <v>500</v>
      </c>
      <c r="R87" s="52">
        <v>500</v>
      </c>
    </row>
    <row r="88" spans="1:18" x14ac:dyDescent="0.2">
      <c r="A88">
        <v>225</v>
      </c>
      <c r="B88">
        <v>42211</v>
      </c>
      <c r="C88">
        <v>550</v>
      </c>
      <c r="D88" s="39"/>
      <c r="E88" s="42" t="s">
        <v>339</v>
      </c>
      <c r="G88" s="26"/>
      <c r="I88" s="3">
        <v>39233.68</v>
      </c>
      <c r="L88" s="25">
        <f t="shared" si="3"/>
        <v>39233.68</v>
      </c>
      <c r="Q88" s="52"/>
      <c r="R88" s="52"/>
    </row>
    <row r="89" spans="1:18" x14ac:dyDescent="0.2">
      <c r="A89">
        <v>225</v>
      </c>
      <c r="B89">
        <v>42211</v>
      </c>
      <c r="C89">
        <v>580</v>
      </c>
      <c r="D89" s="39"/>
      <c r="E89" s="42" t="s">
        <v>158</v>
      </c>
      <c r="G89" s="26">
        <v>5525</v>
      </c>
      <c r="H89" s="4" t="s">
        <v>382</v>
      </c>
      <c r="I89" s="3">
        <v>1403.6</v>
      </c>
      <c r="J89" s="3">
        <v>-1403.6</v>
      </c>
      <c r="L89" s="25">
        <f t="shared" si="3"/>
        <v>0</v>
      </c>
      <c r="N89" s="6" t="s">
        <v>17</v>
      </c>
      <c r="Q89" s="52">
        <v>350000</v>
      </c>
      <c r="R89" s="52">
        <v>460000</v>
      </c>
    </row>
    <row r="90" spans="1:18" x14ac:dyDescent="0.2">
      <c r="A90">
        <v>225</v>
      </c>
      <c r="B90">
        <v>42211</v>
      </c>
      <c r="C90">
        <v>602</v>
      </c>
      <c r="D90" s="39"/>
      <c r="E90" s="42" t="s">
        <v>307</v>
      </c>
      <c r="G90" s="26">
        <v>13419.35</v>
      </c>
      <c r="L90" s="25">
        <f t="shared" si="3"/>
        <v>0</v>
      </c>
      <c r="N90" s="6" t="s">
        <v>22</v>
      </c>
      <c r="Q90" s="52"/>
      <c r="R90" s="52"/>
    </row>
    <row r="91" spans="1:18" x14ac:dyDescent="0.2">
      <c r="A91">
        <v>225</v>
      </c>
      <c r="B91">
        <v>42211</v>
      </c>
      <c r="C91">
        <v>612</v>
      </c>
      <c r="D91" s="39"/>
      <c r="E91" s="42" t="s">
        <v>308</v>
      </c>
      <c r="G91" s="26">
        <v>479.08</v>
      </c>
      <c r="L91" s="25">
        <f t="shared" si="3"/>
        <v>0</v>
      </c>
      <c r="N91" s="6" t="s">
        <v>155</v>
      </c>
      <c r="Q91" s="52"/>
      <c r="R91" s="52"/>
    </row>
    <row r="92" spans="1:18" x14ac:dyDescent="0.2">
      <c r="A92">
        <v>225</v>
      </c>
      <c r="B92">
        <v>41901</v>
      </c>
      <c r="C92">
        <v>810</v>
      </c>
      <c r="D92" s="39"/>
      <c r="E92" s="42" t="s">
        <v>87</v>
      </c>
      <c r="G92" s="26">
        <v>0</v>
      </c>
      <c r="I92" s="3">
        <v>50658.12</v>
      </c>
      <c r="L92" s="25">
        <f t="shared" si="3"/>
        <v>50658.12</v>
      </c>
      <c r="N92" s="6" t="s">
        <v>16</v>
      </c>
      <c r="Q92" s="52">
        <v>0</v>
      </c>
      <c r="R92" s="52">
        <v>0</v>
      </c>
    </row>
    <row r="93" spans="1:18" x14ac:dyDescent="0.2">
      <c r="A93">
        <v>225</v>
      </c>
      <c r="B93">
        <v>42211</v>
      </c>
      <c r="C93" t="s">
        <v>360</v>
      </c>
      <c r="D93" s="39"/>
      <c r="E93" s="42" t="s">
        <v>263</v>
      </c>
      <c r="G93" s="26"/>
      <c r="H93" s="4" t="s">
        <v>383</v>
      </c>
      <c r="J93" s="87">
        <v>1758</v>
      </c>
      <c r="K93" s="3">
        <v>-1758</v>
      </c>
      <c r="L93" s="25">
        <f t="shared" si="3"/>
        <v>0</v>
      </c>
      <c r="Q93" s="52"/>
      <c r="R93" s="52"/>
    </row>
    <row r="94" spans="1:18" x14ac:dyDescent="0.2">
      <c r="A94">
        <v>225</v>
      </c>
      <c r="B94">
        <v>52212</v>
      </c>
      <c r="C94">
        <v>580</v>
      </c>
      <c r="D94" s="39"/>
      <c r="E94" s="42" t="s">
        <v>338</v>
      </c>
      <c r="G94" s="26"/>
      <c r="H94" s="4" t="s">
        <v>359</v>
      </c>
      <c r="J94" s="87">
        <v>18539.490000000002</v>
      </c>
      <c r="L94" s="25">
        <f t="shared" si="3"/>
        <v>18539.490000000002</v>
      </c>
      <c r="Q94" s="52"/>
      <c r="R94" s="52"/>
    </row>
    <row r="95" spans="1:18" x14ac:dyDescent="0.2">
      <c r="A95">
        <v>225</v>
      </c>
      <c r="B95">
        <v>42212</v>
      </c>
      <c r="C95">
        <v>501</v>
      </c>
      <c r="D95" s="39"/>
      <c r="E95" s="42" t="s">
        <v>339</v>
      </c>
      <c r="G95" s="26"/>
      <c r="H95" s="4" t="s">
        <v>359</v>
      </c>
      <c r="J95" s="87">
        <v>3253.51</v>
      </c>
      <c r="L95" s="25">
        <f t="shared" si="3"/>
        <v>3253.51</v>
      </c>
      <c r="Q95" s="52"/>
      <c r="R95" s="52"/>
    </row>
    <row r="96" spans="1:18" x14ac:dyDescent="0.2">
      <c r="A96">
        <v>225</v>
      </c>
      <c r="B96">
        <v>42299</v>
      </c>
      <c r="C96">
        <v>550</v>
      </c>
      <c r="D96" s="39"/>
      <c r="E96" s="42" t="s">
        <v>339</v>
      </c>
      <c r="G96" s="26"/>
      <c r="H96" s="4" t="s">
        <v>359</v>
      </c>
      <c r="J96" s="87">
        <v>46012.81</v>
      </c>
      <c r="L96" s="25">
        <f t="shared" si="3"/>
        <v>46012.81</v>
      </c>
      <c r="Q96" s="52"/>
      <c r="R96" s="52"/>
    </row>
    <row r="97" spans="1:20" x14ac:dyDescent="0.2">
      <c r="D97" s="39"/>
      <c r="E97" s="42"/>
      <c r="G97" s="26"/>
      <c r="L97" s="25"/>
      <c r="Q97" s="52"/>
      <c r="R97" s="52"/>
    </row>
    <row r="98" spans="1:20" x14ac:dyDescent="0.2">
      <c r="D98" s="39"/>
      <c r="E98" s="46"/>
      <c r="G98" s="34"/>
      <c r="I98" s="34"/>
      <c r="J98" s="34"/>
      <c r="K98" s="34"/>
      <c r="L98" s="25"/>
      <c r="Q98" s="52"/>
      <c r="R98" s="52"/>
    </row>
    <row r="99" spans="1:20" x14ac:dyDescent="0.2">
      <c r="D99" s="39" t="s">
        <v>67</v>
      </c>
      <c r="E99" s="42"/>
      <c r="G99" s="26"/>
      <c r="L99" s="25"/>
      <c r="Q99" s="52"/>
      <c r="R99" s="52"/>
    </row>
    <row r="100" spans="1:20" x14ac:dyDescent="0.2">
      <c r="A100">
        <v>225</v>
      </c>
      <c r="B100">
        <v>42211</v>
      </c>
      <c r="C100">
        <v>800</v>
      </c>
      <c r="D100" s="23"/>
      <c r="E100" s="42" t="s">
        <v>151</v>
      </c>
      <c r="G100" s="26">
        <v>0</v>
      </c>
      <c r="L100" s="25">
        <f>SUM(I100:K100)</f>
        <v>0</v>
      </c>
      <c r="N100" s="6" t="s">
        <v>16</v>
      </c>
      <c r="O100" s="3">
        <f>SUM(L100:L101)</f>
        <v>0</v>
      </c>
      <c r="Q100" s="52"/>
      <c r="R100" s="52"/>
      <c r="S100" s="3">
        <f>SUM(Q100:Q101)</f>
        <v>0</v>
      </c>
      <c r="T100" s="3">
        <f>SUM(R100:R101)</f>
        <v>0</v>
      </c>
    </row>
    <row r="101" spans="1:20" x14ac:dyDescent="0.2">
      <c r="A101">
        <v>225</v>
      </c>
      <c r="B101">
        <v>42211</v>
      </c>
      <c r="C101">
        <v>800</v>
      </c>
      <c r="D101" s="23"/>
      <c r="E101" s="42" t="s">
        <v>151</v>
      </c>
      <c r="G101" s="26">
        <v>0</v>
      </c>
      <c r="L101" s="25">
        <f>SUM(I101:K101)</f>
        <v>0</v>
      </c>
      <c r="N101" s="6" t="s">
        <v>16</v>
      </c>
      <c r="Q101" s="52"/>
      <c r="R101" s="52"/>
    </row>
    <row r="102" spans="1:20" x14ac:dyDescent="0.2">
      <c r="D102" s="23"/>
      <c r="E102" s="42"/>
      <c r="G102" s="26"/>
      <c r="L102" s="25"/>
      <c r="Q102" s="52"/>
      <c r="R102" s="52"/>
    </row>
    <row r="103" spans="1:20" x14ac:dyDescent="0.2">
      <c r="D103" s="39" t="s">
        <v>11</v>
      </c>
      <c r="E103" s="42"/>
      <c r="G103" s="26"/>
      <c r="L103" s="25"/>
      <c r="Q103" s="52"/>
      <c r="R103" s="52"/>
    </row>
    <row r="104" spans="1:20" x14ac:dyDescent="0.2">
      <c r="A104">
        <v>225</v>
      </c>
      <c r="B104">
        <v>42211</v>
      </c>
      <c r="C104">
        <v>720</v>
      </c>
      <c r="D104" s="23"/>
      <c r="E104" s="42" t="s">
        <v>136</v>
      </c>
      <c r="G104" s="26">
        <v>0</v>
      </c>
      <c r="H104" s="4" t="s">
        <v>366</v>
      </c>
      <c r="J104" s="3">
        <v>64936.46</v>
      </c>
      <c r="L104" s="25">
        <f>SUM(I104:K104)</f>
        <v>64936.46</v>
      </c>
      <c r="N104" s="6" t="s">
        <v>10</v>
      </c>
      <c r="O104" s="3">
        <f>SUM(L104:L104)</f>
        <v>64936.46</v>
      </c>
      <c r="Q104" s="52">
        <v>0</v>
      </c>
      <c r="R104" s="52">
        <v>0</v>
      </c>
      <c r="S104" s="3">
        <f>+Q104</f>
        <v>0</v>
      </c>
      <c r="T104" s="3">
        <f>+R104</f>
        <v>0</v>
      </c>
    </row>
    <row r="105" spans="1:20" x14ac:dyDescent="0.2">
      <c r="D105" s="23"/>
      <c r="E105" s="42"/>
      <c r="G105" s="26"/>
      <c r="L105" s="25"/>
      <c r="Q105" s="52"/>
      <c r="R105" s="52"/>
    </row>
    <row r="106" spans="1:20" x14ac:dyDescent="0.2">
      <c r="D106" s="23"/>
      <c r="E106" s="24"/>
      <c r="G106" s="29">
        <f t="shared" ref="G106:L106" si="4">SUM(G52:G105)</f>
        <v>85298.35000000002</v>
      </c>
      <c r="H106" s="29">
        <f t="shared" si="4"/>
        <v>0</v>
      </c>
      <c r="I106" s="29">
        <f t="shared" si="4"/>
        <v>159219.01</v>
      </c>
      <c r="J106" s="29">
        <f t="shared" si="4"/>
        <v>136258.26999999999</v>
      </c>
      <c r="K106" s="29">
        <f t="shared" si="4"/>
        <v>-1758</v>
      </c>
      <c r="L106" s="29">
        <f t="shared" si="4"/>
        <v>293719.28000000003</v>
      </c>
      <c r="O106" s="30">
        <f>SUM(O47:O105)</f>
        <v>293719.28000000003</v>
      </c>
      <c r="Q106" s="49">
        <f>SUM(Q54:Q105)</f>
        <v>421720</v>
      </c>
      <c r="R106" s="49">
        <f>SUM(R54:R105)</f>
        <v>531756</v>
      </c>
      <c r="S106" s="49">
        <f>SUM(S64:S105)</f>
        <v>0</v>
      </c>
      <c r="T106" s="49">
        <f>SUM(T64:T105)</f>
        <v>0</v>
      </c>
    </row>
    <row r="107" spans="1:20" x14ac:dyDescent="0.2">
      <c r="D107" s="23"/>
      <c r="G107" s="28"/>
      <c r="I107" s="28"/>
      <c r="J107" s="28"/>
      <c r="K107" s="28"/>
      <c r="L107" s="28"/>
      <c r="Q107" s="52"/>
    </row>
    <row r="108" spans="1:20" x14ac:dyDescent="0.2">
      <c r="E108" s="24" t="s">
        <v>20</v>
      </c>
      <c r="G108" s="29">
        <f>+G106+G44</f>
        <v>-48678.959999999977</v>
      </c>
      <c r="I108" s="29">
        <f>+I106+I44</f>
        <v>-11928.25</v>
      </c>
      <c r="J108" s="29">
        <f>+J106+J44</f>
        <v>66694.459999999992</v>
      </c>
      <c r="K108" s="29">
        <f>+K106+K44</f>
        <v>-1758</v>
      </c>
      <c r="L108" s="29">
        <f>+L106+L44</f>
        <v>53008.210000000021</v>
      </c>
      <c r="Q108" s="52"/>
    </row>
    <row r="109" spans="1:20" x14ac:dyDescent="0.2">
      <c r="E109" s="24"/>
      <c r="G109" s="35"/>
      <c r="I109" s="35"/>
      <c r="J109" s="35"/>
      <c r="K109" s="35"/>
      <c r="L109" s="35"/>
      <c r="Q109" s="52"/>
    </row>
    <row r="110" spans="1:20" x14ac:dyDescent="0.2">
      <c r="E110" s="24"/>
      <c r="G110" s="26"/>
      <c r="I110" s="26"/>
      <c r="J110" s="26"/>
      <c r="K110" s="67" t="s">
        <v>21</v>
      </c>
      <c r="L110" s="36">
        <f>+L108+L16</f>
        <v>0</v>
      </c>
      <c r="Q110" s="52"/>
    </row>
    <row r="111" spans="1:20" ht="12.75" customHeight="1" x14ac:dyDescent="0.2">
      <c r="Q111" s="52"/>
    </row>
    <row r="112" spans="1:20" x14ac:dyDescent="0.2">
      <c r="Q112" s="52"/>
    </row>
    <row r="113" spans="17:17" x14ac:dyDescent="0.2">
      <c r="Q113" s="52"/>
    </row>
    <row r="114" spans="17:17" x14ac:dyDescent="0.2">
      <c r="Q114" s="52"/>
    </row>
    <row r="115" spans="17:17" x14ac:dyDescent="0.2">
      <c r="Q115" s="52"/>
    </row>
    <row r="116" spans="17:17" x14ac:dyDescent="0.2">
      <c r="Q116" s="52"/>
    </row>
    <row r="117" spans="17:17" x14ac:dyDescent="0.2">
      <c r="Q117" s="52"/>
    </row>
    <row r="118" spans="17:17" x14ac:dyDescent="0.2">
      <c r="Q118" s="52"/>
    </row>
    <row r="119" spans="17:17" x14ac:dyDescent="0.2">
      <c r="Q119" s="52"/>
    </row>
    <row r="120" spans="17:17" x14ac:dyDescent="0.2">
      <c r="Q120" s="52"/>
    </row>
    <row r="121" spans="17:17" x14ac:dyDescent="0.2">
      <c r="Q121" s="52"/>
    </row>
    <row r="122" spans="17:17" x14ac:dyDescent="0.2">
      <c r="Q122" s="52"/>
    </row>
    <row r="123" spans="17:17" x14ac:dyDescent="0.2">
      <c r="Q123" s="52"/>
    </row>
    <row r="124" spans="17:17" x14ac:dyDescent="0.2">
      <c r="Q124" s="52"/>
    </row>
    <row r="125" spans="17:17" x14ac:dyDescent="0.2">
      <c r="Q125" s="52"/>
    </row>
    <row r="126" spans="17:17" x14ac:dyDescent="0.2">
      <c r="Q126" s="52"/>
    </row>
    <row r="127" spans="17:17" x14ac:dyDescent="0.2">
      <c r="Q127" s="52"/>
    </row>
    <row r="128" spans="17:17" x14ac:dyDescent="0.2">
      <c r="Q128" s="52"/>
    </row>
    <row r="129" spans="17:17" x14ac:dyDescent="0.2">
      <c r="Q129" s="52"/>
    </row>
    <row r="130" spans="17:17" x14ac:dyDescent="0.2">
      <c r="Q130" s="52"/>
    </row>
    <row r="131" spans="17:17" x14ac:dyDescent="0.2">
      <c r="Q131" s="52"/>
    </row>
    <row r="132" spans="17:17" x14ac:dyDescent="0.2">
      <c r="Q132" s="52"/>
    </row>
    <row r="133" spans="17:17" x14ac:dyDescent="0.2">
      <c r="Q133" s="52"/>
    </row>
    <row r="134" spans="17:17" x14ac:dyDescent="0.2">
      <c r="Q134" s="52"/>
    </row>
    <row r="135" spans="17:17" x14ac:dyDescent="0.2">
      <c r="Q135" s="52"/>
    </row>
    <row r="136" spans="17:17" x14ac:dyDescent="0.2">
      <c r="Q136" s="52"/>
    </row>
    <row r="137" spans="17:17" x14ac:dyDescent="0.2">
      <c r="Q137" s="52"/>
    </row>
    <row r="138" spans="17:17" x14ac:dyDescent="0.2">
      <c r="Q138" s="52"/>
    </row>
    <row r="139" spans="17:17" x14ac:dyDescent="0.2">
      <c r="Q139" s="52"/>
    </row>
    <row r="140" spans="17:17" x14ac:dyDescent="0.2">
      <c r="Q140" s="52"/>
    </row>
    <row r="141" spans="17:17" x14ac:dyDescent="0.2">
      <c r="Q141" s="52"/>
    </row>
    <row r="142" spans="17:17" x14ac:dyDescent="0.2">
      <c r="Q142" s="52"/>
    </row>
    <row r="143" spans="17:17" x14ac:dyDescent="0.2">
      <c r="Q143" s="52"/>
    </row>
    <row r="144" spans="17:17" x14ac:dyDescent="0.2">
      <c r="Q144" s="52"/>
    </row>
    <row r="145" spans="17:17" x14ac:dyDescent="0.2">
      <c r="Q145" s="52"/>
    </row>
    <row r="146" spans="17:17" x14ac:dyDescent="0.2">
      <c r="Q146" s="52"/>
    </row>
    <row r="147" spans="17:17" x14ac:dyDescent="0.2">
      <c r="Q147" s="52"/>
    </row>
    <row r="148" spans="17:17" x14ac:dyDescent="0.2">
      <c r="Q148" s="52"/>
    </row>
    <row r="149" spans="17:17" x14ac:dyDescent="0.2">
      <c r="Q149" s="52"/>
    </row>
    <row r="150" spans="17:17" x14ac:dyDescent="0.2">
      <c r="Q150" s="52"/>
    </row>
    <row r="151" spans="17:17" x14ac:dyDescent="0.2">
      <c r="Q151" s="52"/>
    </row>
    <row r="152" spans="17:17" x14ac:dyDescent="0.2">
      <c r="Q152" s="52"/>
    </row>
  </sheetData>
  <sortState xmlns:xlrd2="http://schemas.microsoft.com/office/spreadsheetml/2017/richdata2" ref="A51:Q87">
    <sortCondition ref="C51:C87"/>
    <sortCondition ref="B51:B87"/>
  </sortState>
  <mergeCells count="4">
    <mergeCell ref="A2:B2"/>
    <mergeCell ref="A4:B4"/>
    <mergeCell ref="A6:C6"/>
    <mergeCell ref="J6:K6"/>
  </mergeCells>
  <printOptions gridLines="1"/>
  <pageMargins left="0.7" right="0.7" top="0.75" bottom="0.75" header="0.3" footer="0.3"/>
  <pageSetup scale="65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T37"/>
  <sheetViews>
    <sheetView workbookViewId="0">
      <selection activeCell="S147" activeCellId="1" sqref="S158 S147"/>
    </sheetView>
  </sheetViews>
  <sheetFormatPr defaultColWidth="9.140625" defaultRowHeight="12.75" x14ac:dyDescent="0.2"/>
  <cols>
    <col min="1" max="1" width="4.42578125" customWidth="1"/>
    <col min="2" max="2" width="6" bestFit="1" customWidth="1"/>
    <col min="3" max="3" width="4" bestFit="1" customWidth="1"/>
    <col min="4" max="4" width="5.42578125" customWidth="1"/>
    <col min="6" max="6" width="13" customWidth="1"/>
    <col min="7" max="7" width="12.28515625" customWidth="1"/>
    <col min="9" max="9" width="12.85546875" bestFit="1" customWidth="1"/>
    <col min="10" max="10" width="12.42578125" bestFit="1" customWidth="1"/>
    <col min="11" max="11" width="11.7109375" customWidth="1"/>
    <col min="12" max="12" width="11.85546875" bestFit="1" customWidth="1"/>
    <col min="13" max="13" width="5" bestFit="1" customWidth="1"/>
    <col min="14" max="14" width="4.140625" bestFit="1" customWidth="1"/>
    <col min="15" max="15" width="11.85546875" bestFit="1" customWidth="1"/>
    <col min="16" max="17" width="11.28515625" bestFit="1" customWidth="1"/>
  </cols>
  <sheetData>
    <row r="1" spans="1:17" x14ac:dyDescent="0.2">
      <c r="A1" s="1"/>
      <c r="G1" s="2" t="s">
        <v>194</v>
      </c>
      <c r="H1" s="4"/>
      <c r="I1" s="3"/>
      <c r="J1" s="3"/>
      <c r="K1" s="5" t="s">
        <v>0</v>
      </c>
      <c r="L1" s="64" t="s">
        <v>137</v>
      </c>
      <c r="M1" s="6"/>
      <c r="N1" s="6"/>
    </row>
    <row r="2" spans="1:17" x14ac:dyDescent="0.2">
      <c r="A2" s="88"/>
      <c r="B2" s="88"/>
      <c r="G2" s="9" t="s">
        <v>1</v>
      </c>
      <c r="H2" s="4"/>
      <c r="I2" s="3"/>
      <c r="J2" s="3"/>
      <c r="K2" s="3"/>
      <c r="L2" s="3"/>
      <c r="M2" s="6"/>
      <c r="N2" s="6"/>
    </row>
    <row r="3" spans="1:17" x14ac:dyDescent="0.2">
      <c r="A3" s="8"/>
      <c r="B3" s="8"/>
      <c r="G3" s="9" t="s">
        <v>361</v>
      </c>
      <c r="H3" s="4"/>
      <c r="I3" s="3"/>
      <c r="J3" s="3"/>
      <c r="K3" s="3"/>
      <c r="L3" s="3"/>
      <c r="M3" s="6"/>
      <c r="N3" s="6"/>
    </row>
    <row r="4" spans="1:17" x14ac:dyDescent="0.2">
      <c r="A4" s="89"/>
      <c r="B4" s="89"/>
      <c r="D4" s="10"/>
      <c r="G4" s="11">
        <v>45657</v>
      </c>
      <c r="H4" s="4"/>
      <c r="I4" s="3"/>
      <c r="J4" s="3"/>
      <c r="K4" s="3"/>
      <c r="L4" s="3"/>
      <c r="M4" s="6"/>
      <c r="N4" s="6"/>
    </row>
    <row r="5" spans="1:17" ht="15" x14ac:dyDescent="0.2">
      <c r="G5" s="3"/>
      <c r="H5" s="4"/>
      <c r="I5" s="3"/>
      <c r="J5" s="3"/>
      <c r="K5" s="65" t="s">
        <v>21</v>
      </c>
      <c r="L5" s="40">
        <f>+L37</f>
        <v>0</v>
      </c>
      <c r="M5" s="6"/>
      <c r="N5" s="12"/>
    </row>
    <row r="6" spans="1:17" ht="15" x14ac:dyDescent="0.2">
      <c r="G6" s="3"/>
      <c r="H6" s="4"/>
      <c r="I6" s="3"/>
      <c r="J6" s="3"/>
      <c r="K6" s="40"/>
      <c r="L6" s="40"/>
      <c r="M6" s="6"/>
      <c r="N6" s="12"/>
      <c r="P6" s="13" t="s">
        <v>26</v>
      </c>
      <c r="Q6" s="13" t="s">
        <v>25</v>
      </c>
    </row>
    <row r="7" spans="1:17" x14ac:dyDescent="0.2">
      <c r="A7" s="92" t="s">
        <v>108</v>
      </c>
      <c r="B7" s="92"/>
      <c r="C7" s="92"/>
      <c r="D7" s="14"/>
      <c r="E7" s="15" t="s">
        <v>4</v>
      </c>
      <c r="F7" s="16"/>
      <c r="G7" s="17">
        <v>45291</v>
      </c>
      <c r="H7" s="18" t="s">
        <v>5</v>
      </c>
      <c r="I7" s="75" t="s">
        <v>109</v>
      </c>
      <c r="J7" s="91" t="s">
        <v>110</v>
      </c>
      <c r="K7" s="91"/>
      <c r="L7" s="17">
        <v>45657</v>
      </c>
      <c r="M7" s="18" t="s">
        <v>24</v>
      </c>
      <c r="N7" s="16" t="s">
        <v>6</v>
      </c>
      <c r="P7" s="41" t="s">
        <v>27</v>
      </c>
      <c r="Q7" s="41" t="s">
        <v>27</v>
      </c>
    </row>
    <row r="8" spans="1:17" x14ac:dyDescent="0.2">
      <c r="D8" s="23" t="s">
        <v>297</v>
      </c>
      <c r="E8" s="24"/>
      <c r="G8" s="25"/>
      <c r="H8" s="4"/>
      <c r="I8" s="3"/>
      <c r="J8" s="3"/>
      <c r="K8" s="3"/>
      <c r="L8" s="25"/>
      <c r="M8" s="6"/>
      <c r="N8" s="6"/>
    </row>
    <row r="9" spans="1:17" x14ac:dyDescent="0.2">
      <c r="A9">
        <v>225</v>
      </c>
      <c r="D9" s="39"/>
      <c r="E9" t="s">
        <v>347</v>
      </c>
      <c r="G9" s="26">
        <v>67397.66</v>
      </c>
      <c r="H9" s="4" t="s">
        <v>345</v>
      </c>
      <c r="I9" s="26"/>
      <c r="J9" s="3">
        <v>-67397.66</v>
      </c>
      <c r="K9" s="26"/>
      <c r="L9" s="25">
        <f>SUM(G9:K9)</f>
        <v>0</v>
      </c>
      <c r="M9" s="6"/>
      <c r="N9" s="6"/>
    </row>
    <row r="10" spans="1:17" x14ac:dyDescent="0.2">
      <c r="A10">
        <v>225</v>
      </c>
      <c r="D10" s="39"/>
      <c r="E10" t="s">
        <v>367</v>
      </c>
      <c r="G10" s="26">
        <v>0</v>
      </c>
      <c r="H10" s="4" t="s">
        <v>345</v>
      </c>
      <c r="I10" s="26"/>
      <c r="J10" s="3">
        <v>137973.45000000001</v>
      </c>
      <c r="K10" s="26"/>
      <c r="L10" s="25">
        <f>SUM(G10:K10)</f>
        <v>137973.45000000001</v>
      </c>
      <c r="M10" s="82" t="s">
        <v>384</v>
      </c>
      <c r="N10" s="6"/>
    </row>
    <row r="11" spans="1:17" x14ac:dyDescent="0.2">
      <c r="D11" s="39"/>
      <c r="G11" s="26"/>
      <c r="H11" s="4"/>
      <c r="I11" s="26"/>
      <c r="J11" s="26"/>
      <c r="K11" s="26"/>
      <c r="L11" s="25"/>
      <c r="M11" s="6"/>
      <c r="N11" s="6"/>
    </row>
    <row r="12" spans="1:17" x14ac:dyDescent="0.2">
      <c r="D12" s="24" t="s">
        <v>28</v>
      </c>
      <c r="G12" s="3"/>
      <c r="H12" s="4"/>
      <c r="I12" s="3"/>
      <c r="J12" s="3"/>
      <c r="K12" s="3"/>
      <c r="L12" s="25"/>
      <c r="M12" s="6"/>
      <c r="N12" s="6"/>
    </row>
    <row r="13" spans="1:17" x14ac:dyDescent="0.2">
      <c r="D13" s="27"/>
      <c r="E13" s="42" t="s">
        <v>124</v>
      </c>
      <c r="G13" s="3">
        <v>-67397.66</v>
      </c>
      <c r="H13" s="4"/>
      <c r="I13" s="3"/>
      <c r="J13" s="3"/>
      <c r="K13" s="3"/>
      <c r="L13" s="25">
        <f>SUM(G13:K13)</f>
        <v>-67397.66</v>
      </c>
      <c r="M13" s="6"/>
      <c r="N13" s="6" t="s">
        <v>8</v>
      </c>
      <c r="O13" s="3">
        <f>SUM(L13:L14)-L16</f>
        <v>-137973.45000000001</v>
      </c>
    </row>
    <row r="14" spans="1:17" x14ac:dyDescent="0.2">
      <c r="D14" s="23"/>
      <c r="E14" s="42" t="s">
        <v>31</v>
      </c>
      <c r="G14" s="26">
        <v>0</v>
      </c>
      <c r="H14" s="4"/>
      <c r="I14" s="26"/>
      <c r="J14" s="26"/>
      <c r="K14" s="26"/>
      <c r="L14" s="25">
        <f>SUM(G14:K14)</f>
        <v>0</v>
      </c>
      <c r="M14" s="6"/>
      <c r="N14" s="6" t="s">
        <v>8</v>
      </c>
    </row>
    <row r="15" spans="1:17" x14ac:dyDescent="0.2">
      <c r="G15" s="28"/>
      <c r="H15" s="4"/>
      <c r="I15" s="28"/>
      <c r="J15" s="28"/>
      <c r="K15" s="28"/>
      <c r="L15" s="28"/>
      <c r="M15" s="6"/>
      <c r="N15" s="6"/>
    </row>
    <row r="16" spans="1:17" x14ac:dyDescent="0.2">
      <c r="F16" s="66" t="s">
        <v>9</v>
      </c>
      <c r="G16" s="29">
        <f>SUM(G8:G15)</f>
        <v>0</v>
      </c>
      <c r="H16" s="4"/>
      <c r="I16" s="29">
        <f>SUM(I8:I15)</f>
        <v>0</v>
      </c>
      <c r="J16" s="29">
        <f>SUM(J8:J15)</f>
        <v>70575.790000000008</v>
      </c>
      <c r="K16" s="29">
        <f>SUM(K8:K15)</f>
        <v>0</v>
      </c>
      <c r="L16" s="29">
        <f>SUM(H16:K16)</f>
        <v>70575.790000000008</v>
      </c>
      <c r="M16" s="6"/>
      <c r="N16" s="6" t="s">
        <v>8</v>
      </c>
    </row>
    <row r="17" spans="1:20" x14ac:dyDescent="0.2">
      <c r="G17" s="22"/>
      <c r="H17" s="4"/>
      <c r="I17" s="22"/>
      <c r="J17" s="22"/>
      <c r="K17" s="22"/>
      <c r="L17" s="22"/>
      <c r="M17" s="6"/>
      <c r="N17" s="6"/>
    </row>
    <row r="18" spans="1:20" x14ac:dyDescent="0.2">
      <c r="D18" s="1" t="s">
        <v>69</v>
      </c>
      <c r="E18" s="24"/>
      <c r="G18" s="26"/>
      <c r="H18" s="4"/>
      <c r="I18" s="3"/>
      <c r="J18" s="3"/>
      <c r="K18" s="3"/>
      <c r="L18" s="25"/>
      <c r="M18" s="6"/>
      <c r="N18" s="6"/>
    </row>
    <row r="19" spans="1:20" ht="12.75" customHeight="1" x14ac:dyDescent="0.2">
      <c r="D19" s="24" t="s">
        <v>46</v>
      </c>
      <c r="G19" s="3"/>
      <c r="H19" s="4"/>
      <c r="I19" s="3"/>
      <c r="J19" s="3"/>
      <c r="K19" s="3"/>
      <c r="L19" s="25"/>
      <c r="M19" s="6"/>
      <c r="N19" s="6"/>
    </row>
    <row r="20" spans="1:20" ht="12.75" customHeight="1" x14ac:dyDescent="0.2">
      <c r="A20">
        <v>225</v>
      </c>
      <c r="B20">
        <v>36210</v>
      </c>
      <c r="D20" s="24"/>
      <c r="E20" t="s">
        <v>42</v>
      </c>
      <c r="G20" s="25">
        <v>-50.92</v>
      </c>
      <c r="H20" s="4" t="s">
        <v>365</v>
      </c>
      <c r="I20" s="3">
        <v>-3111.92</v>
      </c>
      <c r="J20" s="3">
        <v>-2527.41</v>
      </c>
      <c r="K20" s="3"/>
      <c r="L20" s="25">
        <f t="shared" ref="L20" si="0">SUM(I20:K20)</f>
        <v>-5639.33</v>
      </c>
      <c r="M20" s="81">
        <v>4003</v>
      </c>
      <c r="N20" s="6"/>
    </row>
    <row r="21" spans="1:20" ht="12.75" customHeight="1" x14ac:dyDescent="0.2">
      <c r="D21" s="24"/>
      <c r="G21" s="25"/>
      <c r="H21" s="4"/>
      <c r="I21" s="3"/>
      <c r="J21" s="3"/>
      <c r="K21" s="3"/>
      <c r="L21" s="3"/>
      <c r="M21" s="6"/>
      <c r="N21" s="6"/>
    </row>
    <row r="22" spans="1:20" x14ac:dyDescent="0.2">
      <c r="D22" s="39" t="s">
        <v>66</v>
      </c>
      <c r="E22" s="24"/>
      <c r="G22" s="26"/>
      <c r="H22" s="4"/>
      <c r="I22" s="3"/>
      <c r="J22" s="3"/>
      <c r="K22" s="3"/>
      <c r="L22" s="25"/>
      <c r="M22" s="6"/>
      <c r="N22" s="6"/>
    </row>
    <row r="23" spans="1:20" x14ac:dyDescent="0.2">
      <c r="A23">
        <v>225</v>
      </c>
      <c r="B23">
        <v>39201</v>
      </c>
      <c r="D23" s="23"/>
      <c r="E23" s="42" t="s">
        <v>135</v>
      </c>
      <c r="G23" s="26"/>
      <c r="H23" s="4" t="s">
        <v>366</v>
      </c>
      <c r="I23" s="3"/>
      <c r="J23" s="3">
        <v>-64936.46</v>
      </c>
      <c r="K23" s="3"/>
      <c r="L23" s="25">
        <f>SUM(I23:K23)</f>
        <v>-64936.46</v>
      </c>
      <c r="M23" s="82" t="s">
        <v>348</v>
      </c>
      <c r="N23" s="6"/>
    </row>
    <row r="24" spans="1:20" x14ac:dyDescent="0.2">
      <c r="A24">
        <v>225</v>
      </c>
      <c r="B24">
        <v>39990</v>
      </c>
      <c r="D24" s="23"/>
      <c r="E24" s="42" t="s">
        <v>157</v>
      </c>
      <c r="G24" s="26">
        <v>0</v>
      </c>
      <c r="H24" s="4" t="s">
        <v>364</v>
      </c>
      <c r="I24" s="3">
        <v>-69925.070000000007</v>
      </c>
      <c r="J24" s="3">
        <v>67397.66</v>
      </c>
      <c r="K24" s="3">
        <v>2527.41</v>
      </c>
      <c r="L24" s="25">
        <f>SUM(I24:K24)</f>
        <v>-3.637978807091713E-12</v>
      </c>
      <c r="M24" s="6"/>
      <c r="N24" s="6"/>
    </row>
    <row r="25" spans="1:20" x14ac:dyDescent="0.2">
      <c r="D25" s="53"/>
      <c r="E25" s="42"/>
      <c r="G25" s="25"/>
      <c r="H25" s="4"/>
      <c r="I25" s="3"/>
      <c r="J25" s="3"/>
      <c r="K25" s="3"/>
      <c r="M25" s="6"/>
      <c r="N25" s="6"/>
    </row>
    <row r="26" spans="1:20" x14ac:dyDescent="0.2">
      <c r="D26" s="23"/>
      <c r="E26" s="24"/>
      <c r="G26" s="29">
        <f>SUM(G18:G25)</f>
        <v>-50.92</v>
      </c>
      <c r="H26" s="4"/>
      <c r="I26" s="29">
        <f>SUM(I19:I25)</f>
        <v>-73036.990000000005</v>
      </c>
      <c r="J26" s="29">
        <f>SUM(J19:J25)</f>
        <v>-66.209999999991851</v>
      </c>
      <c r="K26" s="29">
        <f>SUM(K19:K25)</f>
        <v>2527.41</v>
      </c>
      <c r="L26" s="29">
        <f>SUM(L18:L25)</f>
        <v>-70575.789999999994</v>
      </c>
      <c r="M26" s="6"/>
      <c r="N26" s="6"/>
    </row>
    <row r="27" spans="1:20" x14ac:dyDescent="0.2">
      <c r="D27" s="23"/>
      <c r="E27" s="24"/>
      <c r="G27" s="26"/>
      <c r="H27" s="4"/>
      <c r="I27" s="3"/>
      <c r="J27" s="3"/>
      <c r="K27" s="3"/>
      <c r="L27" s="25"/>
      <c r="M27" s="6"/>
      <c r="N27" s="6"/>
    </row>
    <row r="28" spans="1:20" x14ac:dyDescent="0.2">
      <c r="D28" s="1" t="s">
        <v>13</v>
      </c>
      <c r="E28" s="24"/>
      <c r="G28" s="26"/>
      <c r="H28" s="4"/>
      <c r="I28" s="3"/>
      <c r="J28" s="3"/>
      <c r="K28" s="3"/>
      <c r="L28" s="25"/>
      <c r="M28" s="6"/>
      <c r="N28" s="6"/>
    </row>
    <row r="29" spans="1:20" ht="12.75" customHeight="1" x14ac:dyDescent="0.2">
      <c r="G29" s="3"/>
      <c r="H29" s="4"/>
      <c r="I29" s="3"/>
      <c r="J29" s="3"/>
      <c r="K29" s="3"/>
      <c r="L29" s="3"/>
      <c r="M29" s="6"/>
      <c r="N29" s="6"/>
    </row>
    <row r="30" spans="1:20" x14ac:dyDescent="0.2">
      <c r="D30" s="39" t="s">
        <v>66</v>
      </c>
      <c r="E30" s="24"/>
      <c r="G30" s="26"/>
      <c r="H30" s="4"/>
      <c r="I30" s="3"/>
      <c r="J30" s="3"/>
      <c r="K30" s="3"/>
      <c r="L30" s="25"/>
      <c r="M30" s="6"/>
      <c r="N30" s="6"/>
    </row>
    <row r="31" spans="1:20" x14ac:dyDescent="0.2">
      <c r="A31">
        <v>225</v>
      </c>
      <c r="B31">
        <v>42211</v>
      </c>
      <c r="C31">
        <v>800</v>
      </c>
      <c r="D31" s="23"/>
      <c r="E31" s="42" t="s">
        <v>151</v>
      </c>
      <c r="G31" s="26">
        <v>0</v>
      </c>
      <c r="H31" s="4" t="s">
        <v>345</v>
      </c>
      <c r="I31" s="3">
        <v>137973.45000000001</v>
      </c>
      <c r="J31" s="3">
        <v>-137973.45000000001</v>
      </c>
      <c r="K31" s="3"/>
      <c r="L31" s="25">
        <f>SUM(I31:K31)</f>
        <v>0</v>
      </c>
      <c r="M31" s="6"/>
      <c r="N31" s="6" t="s">
        <v>16</v>
      </c>
      <c r="O31" s="3">
        <f>SUM(L31:L31)</f>
        <v>0</v>
      </c>
      <c r="P31" s="71"/>
      <c r="Q31" s="52"/>
      <c r="R31" s="52"/>
      <c r="S31" s="3">
        <f>SUM(Q31:Q31)</f>
        <v>0</v>
      </c>
      <c r="T31" s="3">
        <f>SUM(R31:R31)</f>
        <v>0</v>
      </c>
    </row>
    <row r="32" spans="1:20" x14ac:dyDescent="0.2">
      <c r="D32" s="23"/>
      <c r="E32" s="42"/>
      <c r="G32" s="26"/>
      <c r="H32" s="4"/>
      <c r="I32" s="3"/>
      <c r="J32" s="3"/>
      <c r="K32" s="3"/>
      <c r="L32" s="25"/>
      <c r="M32" s="6"/>
      <c r="N32" s="6"/>
    </row>
    <row r="33" spans="4:14" x14ac:dyDescent="0.2">
      <c r="D33" s="23"/>
      <c r="E33" s="24"/>
      <c r="G33" s="29">
        <f t="shared" ref="G33:L33" si="1">SUM(G30:G30)</f>
        <v>0</v>
      </c>
      <c r="H33" s="29">
        <f t="shared" si="1"/>
        <v>0</v>
      </c>
      <c r="I33" s="29">
        <f t="shared" si="1"/>
        <v>0</v>
      </c>
      <c r="J33" s="29">
        <f t="shared" si="1"/>
        <v>0</v>
      </c>
      <c r="K33" s="29">
        <f t="shared" si="1"/>
        <v>0</v>
      </c>
      <c r="L33" s="29">
        <f t="shared" si="1"/>
        <v>0</v>
      </c>
      <c r="M33" s="6"/>
      <c r="N33" s="6"/>
    </row>
    <row r="34" spans="4:14" x14ac:dyDescent="0.2">
      <c r="D34" s="23"/>
      <c r="G34" s="28"/>
      <c r="H34" s="4"/>
      <c r="I34" s="28"/>
      <c r="J34" s="28"/>
      <c r="K34" s="28"/>
      <c r="L34" s="28"/>
      <c r="M34" s="6"/>
      <c r="N34" s="6"/>
    </row>
    <row r="35" spans="4:14" x14ac:dyDescent="0.2">
      <c r="E35" s="24" t="s">
        <v>20</v>
      </c>
      <c r="G35" s="29">
        <f>+G33+G26</f>
        <v>-50.92</v>
      </c>
      <c r="H35" s="4"/>
      <c r="I35" s="29">
        <f>+I33+I26</f>
        <v>-73036.990000000005</v>
      </c>
      <c r="J35" s="29">
        <f>+J33+J26</f>
        <v>-66.209999999991851</v>
      </c>
      <c r="K35" s="29">
        <f>+K33+K26</f>
        <v>2527.41</v>
      </c>
      <c r="L35" s="29">
        <f>+L33+L26</f>
        <v>-70575.789999999994</v>
      </c>
      <c r="M35" s="6"/>
      <c r="N35" s="6"/>
    </row>
    <row r="36" spans="4:14" x14ac:dyDescent="0.2">
      <c r="E36" s="24"/>
      <c r="G36" s="35"/>
      <c r="H36" s="4"/>
      <c r="I36" s="35"/>
      <c r="J36" s="35"/>
      <c r="K36" s="35"/>
      <c r="L36" s="35"/>
      <c r="M36" s="6"/>
      <c r="N36" s="6"/>
    </row>
    <row r="37" spans="4:14" x14ac:dyDescent="0.2">
      <c r="E37" s="24"/>
      <c r="G37" s="26"/>
      <c r="H37" s="4"/>
      <c r="I37" s="26"/>
      <c r="J37" s="26"/>
      <c r="K37" s="67" t="s">
        <v>21</v>
      </c>
      <c r="L37" s="36">
        <f>+L35+L16</f>
        <v>0</v>
      </c>
    </row>
  </sheetData>
  <mergeCells count="4">
    <mergeCell ref="A2:B2"/>
    <mergeCell ref="A4:B4"/>
    <mergeCell ref="A7:C7"/>
    <mergeCell ref="J7:K7"/>
  </mergeCells>
  <printOptions gridLines="1"/>
  <pageMargins left="0.7" right="0.7" top="0.75" bottom="0.75" header="0.3" footer="0.3"/>
  <pageSetup scale="6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A0D56-42B2-4657-9070-E1746A1BD956}">
  <sheetPr>
    <tabColor rgb="FF0070C0"/>
    <pageSetUpPr fitToPage="1"/>
  </sheetPr>
  <dimension ref="A1:Q43"/>
  <sheetViews>
    <sheetView workbookViewId="0">
      <selection activeCell="S35" sqref="S35"/>
    </sheetView>
  </sheetViews>
  <sheetFormatPr defaultColWidth="9.140625" defaultRowHeight="12.75" x14ac:dyDescent="0.2"/>
  <cols>
    <col min="1" max="1" width="4.42578125" customWidth="1"/>
    <col min="2" max="2" width="6" bestFit="1" customWidth="1"/>
    <col min="3" max="3" width="4" bestFit="1" customWidth="1"/>
    <col min="4" max="4" width="5.42578125" customWidth="1"/>
    <col min="6" max="6" width="13" customWidth="1"/>
    <col min="7" max="7" width="12.28515625" customWidth="1"/>
    <col min="9" max="10" width="10.85546875" bestFit="1" customWidth="1"/>
    <col min="12" max="12" width="11.85546875" bestFit="1" customWidth="1"/>
    <col min="13" max="13" width="3.7109375" bestFit="1" customWidth="1"/>
    <col min="14" max="14" width="4.140625" bestFit="1" customWidth="1"/>
    <col min="15" max="15" width="11.85546875" bestFit="1" customWidth="1"/>
    <col min="16" max="17" width="11.28515625" bestFit="1" customWidth="1"/>
  </cols>
  <sheetData>
    <row r="1" spans="1:17" x14ac:dyDescent="0.2">
      <c r="A1" s="1"/>
      <c r="G1" s="2" t="s">
        <v>194</v>
      </c>
      <c r="H1" s="4"/>
      <c r="I1" s="3"/>
      <c r="J1" s="3"/>
      <c r="K1" s="5" t="s">
        <v>0</v>
      </c>
      <c r="L1" s="64" t="s">
        <v>137</v>
      </c>
      <c r="M1" s="6"/>
      <c r="N1" s="6"/>
    </row>
    <row r="2" spans="1:17" x14ac:dyDescent="0.2">
      <c r="A2" s="88"/>
      <c r="B2" s="88"/>
      <c r="G2" s="9" t="s">
        <v>1</v>
      </c>
      <c r="H2" s="4"/>
      <c r="I2" s="3"/>
      <c r="J2" s="3"/>
      <c r="K2" s="3"/>
      <c r="L2" s="3"/>
      <c r="M2" s="6"/>
      <c r="N2" s="6"/>
    </row>
    <row r="3" spans="1:17" x14ac:dyDescent="0.2">
      <c r="A3" s="8"/>
      <c r="B3" s="8"/>
      <c r="G3" s="9" t="s">
        <v>165</v>
      </c>
      <c r="H3" s="4"/>
      <c r="I3" s="3"/>
      <c r="J3" s="3"/>
      <c r="K3" s="3"/>
      <c r="L3" s="3"/>
      <c r="M3" s="6"/>
      <c r="N3" s="6"/>
    </row>
    <row r="4" spans="1:17" x14ac:dyDescent="0.2">
      <c r="A4" s="89"/>
      <c r="B4" s="89"/>
      <c r="D4" s="10"/>
      <c r="G4" s="11">
        <v>45291</v>
      </c>
      <c r="H4" s="4"/>
      <c r="I4" s="3"/>
      <c r="J4" s="3"/>
      <c r="K4" s="3"/>
      <c r="L4" s="3"/>
      <c r="M4" s="6"/>
      <c r="N4" s="6"/>
    </row>
    <row r="5" spans="1:17" ht="15" x14ac:dyDescent="0.2">
      <c r="G5" s="3"/>
      <c r="H5" s="4"/>
      <c r="I5" s="3"/>
      <c r="J5" s="3"/>
      <c r="K5" s="65" t="s">
        <v>21</v>
      </c>
      <c r="L5" s="40">
        <f>+L43</f>
        <v>0</v>
      </c>
      <c r="M5" s="6"/>
      <c r="N5" s="12"/>
    </row>
    <row r="6" spans="1:17" ht="15" x14ac:dyDescent="0.2">
      <c r="G6" s="3"/>
      <c r="H6" s="4"/>
      <c r="I6" s="3"/>
      <c r="J6" s="3"/>
      <c r="K6" s="40"/>
      <c r="L6" s="40"/>
      <c r="M6" s="6"/>
      <c r="N6" s="12"/>
      <c r="P6" s="13" t="s">
        <v>26</v>
      </c>
      <c r="Q6" s="13" t="s">
        <v>25</v>
      </c>
    </row>
    <row r="7" spans="1:17" x14ac:dyDescent="0.2">
      <c r="A7" s="92" t="s">
        <v>108</v>
      </c>
      <c r="B7" s="92"/>
      <c r="C7" s="92"/>
      <c r="D7" s="14"/>
      <c r="E7" s="15" t="s">
        <v>4</v>
      </c>
      <c r="F7" s="16"/>
      <c r="G7" s="17">
        <v>44926</v>
      </c>
      <c r="H7" s="18" t="s">
        <v>5</v>
      </c>
      <c r="I7" s="75" t="s">
        <v>109</v>
      </c>
      <c r="J7" s="91" t="s">
        <v>110</v>
      </c>
      <c r="K7" s="91"/>
      <c r="L7" s="17">
        <v>45291</v>
      </c>
      <c r="M7" s="18" t="s">
        <v>24</v>
      </c>
      <c r="N7" s="16" t="s">
        <v>6</v>
      </c>
      <c r="P7" s="41" t="s">
        <v>27</v>
      </c>
      <c r="Q7" s="41" t="s">
        <v>27</v>
      </c>
    </row>
    <row r="8" spans="1:17" x14ac:dyDescent="0.2">
      <c r="D8" s="23"/>
      <c r="E8" s="24"/>
      <c r="G8" s="25"/>
      <c r="H8" s="4"/>
      <c r="I8" s="3"/>
      <c r="J8" s="3"/>
      <c r="K8" s="3"/>
      <c r="L8" s="25"/>
      <c r="M8" s="6"/>
      <c r="N8" s="6"/>
    </row>
    <row r="9" spans="1:17" x14ac:dyDescent="0.2">
      <c r="A9">
        <v>303</v>
      </c>
      <c r="D9" s="39" t="s">
        <v>169</v>
      </c>
      <c r="G9" s="26">
        <v>46764.17</v>
      </c>
      <c r="H9" s="4"/>
      <c r="I9" s="26">
        <f>66038.23-89170</f>
        <v>-23131.770000000004</v>
      </c>
      <c r="J9" s="26"/>
      <c r="K9" s="26"/>
      <c r="L9" s="25">
        <f>SUM(G9:K9)</f>
        <v>23632.399999999994</v>
      </c>
      <c r="M9" s="6"/>
      <c r="N9" s="6"/>
      <c r="O9" s="3"/>
    </row>
    <row r="10" spans="1:17" x14ac:dyDescent="0.2">
      <c r="D10" s="39"/>
      <c r="G10" s="26"/>
      <c r="H10" s="4"/>
      <c r="I10" s="26"/>
      <c r="J10" s="26"/>
      <c r="K10" s="26"/>
      <c r="L10" s="25"/>
      <c r="M10" s="6"/>
      <c r="N10" s="6"/>
    </row>
    <row r="11" spans="1:17" x14ac:dyDescent="0.2">
      <c r="D11" s="24" t="s">
        <v>28</v>
      </c>
      <c r="G11" s="3"/>
      <c r="H11" s="4"/>
      <c r="I11" s="3"/>
      <c r="J11" s="3"/>
      <c r="K11" s="3"/>
      <c r="L11" s="25"/>
      <c r="M11" s="6"/>
      <c r="N11" s="6"/>
    </row>
    <row r="12" spans="1:17" x14ac:dyDescent="0.2">
      <c r="D12" s="27"/>
      <c r="E12" s="42" t="s">
        <v>29</v>
      </c>
      <c r="G12" s="3">
        <f>-G9</f>
        <v>-46764.17</v>
      </c>
      <c r="H12" s="4"/>
      <c r="I12" s="3"/>
      <c r="J12" s="3"/>
      <c r="K12" s="3"/>
      <c r="L12" s="25">
        <f>SUM(G12:K12)</f>
        <v>-46764.17</v>
      </c>
      <c r="M12" s="6"/>
      <c r="N12" s="6" t="s">
        <v>8</v>
      </c>
      <c r="O12" s="3">
        <f>SUM(L12:L15)-L17</f>
        <v>-23632.399999999994</v>
      </c>
    </row>
    <row r="13" spans="1:17" x14ac:dyDescent="0.2">
      <c r="D13" s="27"/>
      <c r="E13" s="42" t="s">
        <v>181</v>
      </c>
      <c r="G13" s="3">
        <v>0</v>
      </c>
      <c r="H13" s="4"/>
      <c r="I13" s="3"/>
      <c r="J13" s="3"/>
      <c r="K13" s="3"/>
      <c r="L13" s="25">
        <f>SUM(G13:K13)</f>
        <v>0</v>
      </c>
      <c r="M13" s="6"/>
      <c r="N13" s="6" t="s">
        <v>8</v>
      </c>
    </row>
    <row r="14" spans="1:17" x14ac:dyDescent="0.2">
      <c r="D14" s="23"/>
      <c r="E14" s="42" t="s">
        <v>124</v>
      </c>
      <c r="G14" s="26">
        <v>0</v>
      </c>
      <c r="H14" s="4"/>
      <c r="I14" s="3"/>
      <c r="J14" s="3"/>
      <c r="K14" s="3"/>
      <c r="L14" s="25">
        <f>SUM(G14:K14)</f>
        <v>0</v>
      </c>
      <c r="M14" s="6"/>
      <c r="N14" s="6" t="s">
        <v>8</v>
      </c>
      <c r="O14" s="3"/>
    </row>
    <row r="15" spans="1:17" x14ac:dyDescent="0.2">
      <c r="D15" s="23"/>
      <c r="E15" s="42" t="s">
        <v>31</v>
      </c>
      <c r="G15" s="26">
        <v>0</v>
      </c>
      <c r="H15" s="4"/>
      <c r="I15" s="26"/>
      <c r="J15" s="26"/>
      <c r="K15" s="26"/>
      <c r="L15" s="25">
        <f>SUM(G15:K15)</f>
        <v>0</v>
      </c>
      <c r="M15" s="6"/>
      <c r="N15" s="6" t="s">
        <v>8</v>
      </c>
    </row>
    <row r="16" spans="1:17" x14ac:dyDescent="0.2">
      <c r="G16" s="28"/>
      <c r="H16" s="4"/>
      <c r="I16" s="28"/>
      <c r="J16" s="28"/>
      <c r="K16" s="28"/>
      <c r="L16" s="28"/>
      <c r="M16" s="6"/>
      <c r="N16" s="6"/>
    </row>
    <row r="17" spans="1:15" x14ac:dyDescent="0.2">
      <c r="F17" s="66" t="s">
        <v>9</v>
      </c>
      <c r="G17" s="29">
        <f>SUM(G8:G16)</f>
        <v>0</v>
      </c>
      <c r="H17" s="4"/>
      <c r="I17" s="29">
        <f>SUM(I8:I16)</f>
        <v>-23131.770000000004</v>
      </c>
      <c r="J17" s="29">
        <f>SUM(J8:J16)</f>
        <v>0</v>
      </c>
      <c r="K17" s="29">
        <f>SUM(K8:K16)</f>
        <v>0</v>
      </c>
      <c r="L17" s="29">
        <f>SUM(H17:K17)</f>
        <v>-23131.770000000004</v>
      </c>
      <c r="M17" s="6"/>
      <c r="N17" s="6" t="s">
        <v>8</v>
      </c>
    </row>
    <row r="18" spans="1:15" x14ac:dyDescent="0.2">
      <c r="G18" s="22"/>
      <c r="H18" s="4"/>
      <c r="I18" s="22"/>
      <c r="J18" s="22"/>
      <c r="K18" s="22"/>
      <c r="L18" s="22"/>
      <c r="M18" s="6"/>
      <c r="N18" s="6"/>
    </row>
    <row r="19" spans="1:15" x14ac:dyDescent="0.2">
      <c r="D19" s="1" t="s">
        <v>69</v>
      </c>
      <c r="E19" s="24"/>
      <c r="G19" s="26"/>
      <c r="H19" s="4"/>
      <c r="I19" s="3"/>
      <c r="J19" s="3"/>
      <c r="K19" s="3"/>
      <c r="L19" s="25"/>
      <c r="M19" s="6"/>
      <c r="N19" s="6"/>
    </row>
    <row r="20" spans="1:15" ht="12.75" customHeight="1" x14ac:dyDescent="0.2">
      <c r="D20" s="24" t="s">
        <v>46</v>
      </c>
      <c r="G20" s="3"/>
      <c r="H20" s="4"/>
      <c r="I20" s="3"/>
      <c r="J20" s="3"/>
      <c r="K20" s="3"/>
      <c r="L20" s="25"/>
      <c r="M20" s="6"/>
      <c r="N20" s="6"/>
    </row>
    <row r="21" spans="1:15" ht="12.75" customHeight="1" x14ac:dyDescent="0.2">
      <c r="A21">
        <v>303</v>
      </c>
      <c r="B21">
        <v>36210</v>
      </c>
      <c r="D21" s="23"/>
      <c r="E21" s="42" t="s">
        <v>112</v>
      </c>
      <c r="G21" s="26"/>
      <c r="H21" s="4"/>
      <c r="I21" s="26">
        <v>-478.23</v>
      </c>
      <c r="J21" s="26"/>
      <c r="K21" s="26"/>
      <c r="L21" s="25">
        <f>SUM(I21:K21)</f>
        <v>-478.23</v>
      </c>
      <c r="M21" s="81">
        <v>4003</v>
      </c>
      <c r="N21" s="6" t="s">
        <v>153</v>
      </c>
      <c r="O21" s="3">
        <f>+L21</f>
        <v>-478.23</v>
      </c>
    </row>
    <row r="22" spans="1:15" ht="12.75" customHeight="1" x14ac:dyDescent="0.2">
      <c r="D22" s="23"/>
      <c r="E22" s="42"/>
      <c r="G22" s="26"/>
      <c r="H22" s="4"/>
      <c r="I22" s="26"/>
      <c r="J22" s="26"/>
      <c r="K22" s="26"/>
      <c r="L22" s="25"/>
      <c r="M22" s="81"/>
      <c r="N22" s="6"/>
      <c r="O22" s="3"/>
    </row>
    <row r="23" spans="1:15" ht="12.75" customHeight="1" x14ac:dyDescent="0.2">
      <c r="D23" s="39" t="s">
        <v>318</v>
      </c>
      <c r="E23" s="42"/>
      <c r="G23" s="26"/>
      <c r="H23" s="4"/>
      <c r="I23" s="26"/>
      <c r="J23" s="26"/>
      <c r="K23" s="26"/>
      <c r="L23" s="25"/>
      <c r="M23" s="81"/>
      <c r="N23" s="6"/>
      <c r="O23" s="3"/>
    </row>
    <row r="24" spans="1:15" ht="12.75" customHeight="1" x14ac:dyDescent="0.2">
      <c r="A24">
        <v>303</v>
      </c>
      <c r="B24">
        <v>39202</v>
      </c>
      <c r="D24" s="39"/>
      <c r="E24" s="42" t="s">
        <v>319</v>
      </c>
      <c r="G24" s="26"/>
      <c r="H24" s="4"/>
      <c r="I24" s="26">
        <v>-65560</v>
      </c>
      <c r="J24" s="26"/>
      <c r="K24" s="26"/>
      <c r="L24" s="25">
        <f>SUM(I24:K24)</f>
        <v>-65560</v>
      </c>
      <c r="M24" s="81"/>
      <c r="N24" s="6"/>
      <c r="O24" s="3"/>
    </row>
    <row r="25" spans="1:15" x14ac:dyDescent="0.2">
      <c r="D25" s="53"/>
      <c r="E25" s="42"/>
      <c r="G25" s="25"/>
      <c r="H25" s="4"/>
      <c r="I25" s="3"/>
      <c r="J25" s="3"/>
      <c r="K25" s="3"/>
      <c r="M25" s="6"/>
      <c r="N25" s="6"/>
    </row>
    <row r="26" spans="1:15" x14ac:dyDescent="0.2">
      <c r="D26" s="23"/>
      <c r="E26" s="24"/>
      <c r="G26" s="29">
        <f>SUM(G19:G25)</f>
        <v>0</v>
      </c>
      <c r="H26" s="4"/>
      <c r="I26" s="29">
        <f>SUM(I20:I25)</f>
        <v>-66038.23</v>
      </c>
      <c r="J26" s="29">
        <f>SUM(J20:J25)</f>
        <v>0</v>
      </c>
      <c r="K26" s="29">
        <f>SUM(K20:K25)</f>
        <v>0</v>
      </c>
      <c r="L26" s="29">
        <f>SUM(L19:L25)</f>
        <v>-66038.23</v>
      </c>
      <c r="M26" s="6"/>
      <c r="N26" s="6"/>
    </row>
    <row r="27" spans="1:15" x14ac:dyDescent="0.2">
      <c r="D27" s="23"/>
      <c r="E27" s="24"/>
      <c r="G27" s="26"/>
      <c r="H27" s="4"/>
      <c r="I27" s="3"/>
      <c r="J27" s="3"/>
      <c r="K27" s="3"/>
      <c r="L27" s="25"/>
      <c r="M27" s="6"/>
      <c r="N27" s="6"/>
    </row>
    <row r="28" spans="1:15" x14ac:dyDescent="0.2">
      <c r="D28" s="1" t="s">
        <v>13</v>
      </c>
      <c r="E28" s="24"/>
      <c r="G28" s="26"/>
      <c r="H28" s="4"/>
      <c r="I28" s="3"/>
      <c r="J28" s="3"/>
      <c r="K28" s="3"/>
      <c r="L28" s="25"/>
      <c r="M28" s="6"/>
      <c r="N28" s="6"/>
    </row>
    <row r="29" spans="1:15" ht="12.75" customHeight="1" x14ac:dyDescent="0.2">
      <c r="G29" s="3"/>
      <c r="H29" s="4"/>
      <c r="I29" s="3"/>
      <c r="J29" s="3"/>
      <c r="K29" s="3"/>
      <c r="L29" s="3"/>
      <c r="M29" s="6"/>
      <c r="N29" s="6"/>
    </row>
    <row r="30" spans="1:15" x14ac:dyDescent="0.2">
      <c r="D30" s="39" t="s">
        <v>46</v>
      </c>
      <c r="E30" s="24"/>
      <c r="G30" s="26"/>
      <c r="H30" s="4"/>
      <c r="I30" s="3"/>
      <c r="J30" s="3"/>
      <c r="K30" s="3"/>
      <c r="L30" s="25"/>
      <c r="M30" s="6"/>
      <c r="N30" s="6"/>
    </row>
    <row r="31" spans="1:15" x14ac:dyDescent="0.2">
      <c r="A31">
        <v>303</v>
      </c>
      <c r="B31">
        <v>49440</v>
      </c>
      <c r="C31">
        <v>601</v>
      </c>
      <c r="D31" s="39"/>
      <c r="E31" s="42" t="s">
        <v>183</v>
      </c>
      <c r="G31" s="34">
        <v>70000</v>
      </c>
      <c r="H31" s="4"/>
      <c r="I31" s="34">
        <v>71000</v>
      </c>
      <c r="J31" s="34"/>
      <c r="K31" s="34"/>
      <c r="L31" s="25">
        <f>SUM(I31:K31)</f>
        <v>71000</v>
      </c>
      <c r="M31" s="6"/>
      <c r="N31" s="6" t="s">
        <v>163</v>
      </c>
      <c r="O31" s="3">
        <f>SUM(L31:L31)</f>
        <v>71000</v>
      </c>
    </row>
    <row r="32" spans="1:15" x14ac:dyDescent="0.2">
      <c r="A32">
        <v>303</v>
      </c>
      <c r="B32">
        <v>49440</v>
      </c>
      <c r="C32">
        <v>611</v>
      </c>
      <c r="D32" s="39"/>
      <c r="E32" s="47" t="s">
        <v>184</v>
      </c>
      <c r="G32" s="34">
        <v>18870</v>
      </c>
      <c r="H32" s="4"/>
      <c r="I32" s="34">
        <v>18170</v>
      </c>
      <c r="J32" s="34"/>
      <c r="K32" s="34"/>
      <c r="L32" s="25">
        <f>SUM(I32:K32)</f>
        <v>18170</v>
      </c>
      <c r="M32" s="6"/>
      <c r="N32" s="6" t="s">
        <v>164</v>
      </c>
      <c r="O32" s="3">
        <f>SUM(L32:L33)</f>
        <v>18170</v>
      </c>
    </row>
    <row r="33" spans="1:17" x14ac:dyDescent="0.2">
      <c r="D33" s="23"/>
      <c r="E33" s="42"/>
      <c r="G33" s="25">
        <f>SUM(I33:K33)</f>
        <v>0</v>
      </c>
      <c r="H33" s="4"/>
      <c r="I33" s="34"/>
      <c r="J33" s="34"/>
      <c r="K33" s="34"/>
      <c r="L33" s="3">
        <f>SUM(I33:K33)</f>
        <v>0</v>
      </c>
      <c r="N33" s="6"/>
    </row>
    <row r="34" spans="1:17" x14ac:dyDescent="0.2">
      <c r="D34" s="23"/>
      <c r="E34" s="42"/>
      <c r="G34" s="25">
        <f>SUM(I34:K34)</f>
        <v>0</v>
      </c>
      <c r="H34" s="4"/>
      <c r="I34" s="34"/>
      <c r="J34" s="34"/>
      <c r="K34" s="34"/>
      <c r="L34" s="3">
        <f>SUM(I34:K34)</f>
        <v>0</v>
      </c>
      <c r="N34" s="6"/>
    </row>
    <row r="35" spans="1:17" x14ac:dyDescent="0.2">
      <c r="D35" s="23"/>
      <c r="E35" s="42"/>
      <c r="G35" s="25"/>
      <c r="H35" s="4"/>
      <c r="I35" s="34"/>
      <c r="J35" s="34"/>
      <c r="K35" s="34"/>
      <c r="M35" s="6"/>
      <c r="N35" s="6"/>
    </row>
    <row r="36" spans="1:17" x14ac:dyDescent="0.2">
      <c r="D36" s="23"/>
      <c r="E36" s="24" t="s">
        <v>11</v>
      </c>
      <c r="G36" s="25"/>
      <c r="H36" s="4"/>
      <c r="I36" s="34"/>
      <c r="J36" s="34"/>
      <c r="K36" s="34"/>
      <c r="M36" s="6"/>
      <c r="N36" s="6"/>
    </row>
    <row r="37" spans="1:17" x14ac:dyDescent="0.2">
      <c r="A37">
        <v>401</v>
      </c>
      <c r="B37">
        <v>49360</v>
      </c>
      <c r="C37">
        <v>720</v>
      </c>
      <c r="D37" s="23"/>
      <c r="E37" s="42" t="s">
        <v>92</v>
      </c>
      <c r="G37" s="25">
        <f>SUM(I37:K37)</f>
        <v>0</v>
      </c>
      <c r="H37" s="4"/>
      <c r="I37" s="34"/>
      <c r="J37" s="34"/>
      <c r="K37" s="34"/>
      <c r="L37" s="25">
        <f>SUM(I37:K37)</f>
        <v>0</v>
      </c>
      <c r="M37" s="6"/>
      <c r="N37" s="6"/>
      <c r="P37" s="48"/>
      <c r="Q37" s="48"/>
    </row>
    <row r="38" spans="1:17" x14ac:dyDescent="0.2">
      <c r="D38" s="23"/>
      <c r="E38" s="24"/>
      <c r="G38" s="25"/>
      <c r="H38" s="4"/>
      <c r="I38" s="34"/>
      <c r="J38" s="34"/>
      <c r="K38" s="34"/>
      <c r="M38" s="6"/>
      <c r="N38" s="6"/>
      <c r="P38" s="48"/>
      <c r="Q38" s="48"/>
    </row>
    <row r="39" spans="1:17" x14ac:dyDescent="0.2">
      <c r="D39" s="23"/>
      <c r="E39" s="24"/>
      <c r="G39" s="29">
        <f t="shared" ref="G39:L39" si="0">SUM(G30:G38)</f>
        <v>88870</v>
      </c>
      <c r="H39" s="29">
        <f t="shared" si="0"/>
        <v>0</v>
      </c>
      <c r="I39" s="29">
        <f t="shared" si="0"/>
        <v>89170</v>
      </c>
      <c r="J39" s="29">
        <f t="shared" si="0"/>
        <v>0</v>
      </c>
      <c r="K39" s="29">
        <f t="shared" si="0"/>
        <v>0</v>
      </c>
      <c r="L39" s="29">
        <f t="shared" si="0"/>
        <v>89170</v>
      </c>
      <c r="M39" s="6"/>
      <c r="N39" s="6"/>
    </row>
    <row r="40" spans="1:17" x14ac:dyDescent="0.2">
      <c r="D40" s="23"/>
      <c r="G40" s="28"/>
      <c r="H40" s="4"/>
      <c r="I40" s="28"/>
      <c r="J40" s="28"/>
      <c r="K40" s="28"/>
      <c r="L40" s="28"/>
      <c r="M40" s="6"/>
      <c r="N40" s="6"/>
    </row>
    <row r="41" spans="1:17" x14ac:dyDescent="0.2">
      <c r="E41" s="24" t="s">
        <v>20</v>
      </c>
      <c r="G41" s="29">
        <f>+G39+G26</f>
        <v>88870</v>
      </c>
      <c r="H41" s="4"/>
      <c r="I41" s="29">
        <f>+I39+I26</f>
        <v>23131.770000000004</v>
      </c>
      <c r="J41" s="29">
        <f>+J39+J26</f>
        <v>0</v>
      </c>
      <c r="K41" s="29">
        <f>+K39+K26</f>
        <v>0</v>
      </c>
      <c r="L41" s="29">
        <f>+L39+L26</f>
        <v>23131.770000000004</v>
      </c>
      <c r="M41" s="6"/>
      <c r="N41" s="6"/>
    </row>
    <row r="42" spans="1:17" x14ac:dyDescent="0.2">
      <c r="E42" s="24"/>
      <c r="G42" s="35"/>
      <c r="H42" s="4"/>
      <c r="I42" s="35"/>
      <c r="J42" s="35"/>
      <c r="K42" s="35"/>
      <c r="L42" s="35"/>
      <c r="M42" s="6"/>
      <c r="N42" s="6"/>
    </row>
    <row r="43" spans="1:17" x14ac:dyDescent="0.2">
      <c r="E43" s="24"/>
      <c r="G43" s="26"/>
      <c r="H43" s="4"/>
      <c r="I43" s="26"/>
      <c r="J43" s="26"/>
      <c r="K43" s="67" t="s">
        <v>21</v>
      </c>
      <c r="L43" s="36">
        <f>+L41+L17</f>
        <v>0</v>
      </c>
      <c r="M43" s="6"/>
      <c r="N43" s="6"/>
    </row>
  </sheetData>
  <mergeCells count="4">
    <mergeCell ref="A2:B2"/>
    <mergeCell ref="A4:B4"/>
    <mergeCell ref="A7:C7"/>
    <mergeCell ref="J7:K7"/>
  </mergeCells>
  <printOptions gridLines="1"/>
  <pageMargins left="0.7" right="0.7" top="0.75" bottom="0.75" header="0.3" footer="0.3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R97"/>
  <sheetViews>
    <sheetView zoomScaleNormal="100" workbookViewId="0">
      <pane xSplit="6" ySplit="6" topLeftCell="G7" activePane="bottomRight" state="frozen"/>
      <selection activeCell="S147" activeCellId="1" sqref="S158 S147"/>
      <selection pane="topRight" activeCell="S147" activeCellId="1" sqref="S158 S147"/>
      <selection pane="bottomLeft" activeCell="S147" activeCellId="1" sqref="S158 S147"/>
      <selection pane="bottomRight" activeCell="I16" sqref="I16"/>
    </sheetView>
  </sheetViews>
  <sheetFormatPr defaultColWidth="9.28515625" defaultRowHeight="12.75" x14ac:dyDescent="0.2"/>
  <cols>
    <col min="1" max="1" width="4.140625" customWidth="1"/>
    <col min="2" max="2" width="6" bestFit="1" customWidth="1"/>
    <col min="3" max="3" width="4" bestFit="1" customWidth="1"/>
    <col min="4" max="4" width="3.42578125" customWidth="1"/>
    <col min="5" max="5" width="15.42578125" customWidth="1"/>
    <col min="6" max="6" width="15.28515625" customWidth="1"/>
    <col min="7" max="7" width="12.85546875" style="3" customWidth="1"/>
    <col min="8" max="8" width="6.5703125" style="4" customWidth="1"/>
    <col min="9" max="9" width="12.85546875" style="3" bestFit="1" customWidth="1"/>
    <col min="10" max="10" width="11.28515625" style="3" bestFit="1" customWidth="1"/>
    <col min="11" max="11" width="9.42578125" style="3" customWidth="1"/>
    <col min="12" max="12" width="12.42578125" style="3" bestFit="1" customWidth="1"/>
    <col min="13" max="13" width="5" style="6" bestFit="1" customWidth="1"/>
    <col min="14" max="14" width="3.7109375" style="6" customWidth="1"/>
    <col min="15" max="15" width="11.85546875" style="3" bestFit="1" customWidth="1"/>
    <col min="16" max="16" width="14.7109375" style="6" customWidth="1"/>
  </cols>
  <sheetData>
    <row r="1" spans="1:16" x14ac:dyDescent="0.2">
      <c r="A1" s="1"/>
      <c r="G1" s="2" t="s">
        <v>194</v>
      </c>
      <c r="K1" s="5" t="s">
        <v>0</v>
      </c>
      <c r="L1" s="72" t="s">
        <v>137</v>
      </c>
    </row>
    <row r="2" spans="1:16" x14ac:dyDescent="0.2">
      <c r="A2" s="88"/>
      <c r="B2" s="88"/>
      <c r="G2" s="9" t="s">
        <v>1</v>
      </c>
    </row>
    <row r="3" spans="1:16" x14ac:dyDescent="0.2">
      <c r="D3" s="8"/>
      <c r="G3" s="9" t="s">
        <v>107</v>
      </c>
    </row>
    <row r="4" spans="1:16" x14ac:dyDescent="0.2">
      <c r="D4" s="10"/>
      <c r="G4" s="11">
        <f>+'Fire - Capital Project'!G4</f>
        <v>45657</v>
      </c>
    </row>
    <row r="5" spans="1:16" ht="15" x14ac:dyDescent="0.2">
      <c r="K5" s="65" t="s">
        <v>21</v>
      </c>
      <c r="L5" s="40">
        <f>+L96</f>
        <v>0</v>
      </c>
      <c r="N5" s="12"/>
      <c r="O5" s="74" t="s">
        <v>2</v>
      </c>
      <c r="P5" s="58"/>
    </row>
    <row r="6" spans="1:16" x14ac:dyDescent="0.2">
      <c r="A6" s="90" t="s">
        <v>108</v>
      </c>
      <c r="B6" s="90"/>
      <c r="C6" s="90"/>
      <c r="D6" s="14"/>
      <c r="E6" s="15" t="s">
        <v>4</v>
      </c>
      <c r="F6" s="16"/>
      <c r="G6" s="17">
        <f>EDATE(+G4,-12)</f>
        <v>45291</v>
      </c>
      <c r="H6" s="18" t="s">
        <v>5</v>
      </c>
      <c r="I6" s="75" t="s">
        <v>109</v>
      </c>
      <c r="J6" s="91" t="s">
        <v>110</v>
      </c>
      <c r="K6" s="91"/>
      <c r="L6" s="17">
        <f>+G4</f>
        <v>45657</v>
      </c>
      <c r="M6" s="18" t="s">
        <v>24</v>
      </c>
      <c r="N6" s="16" t="s">
        <v>6</v>
      </c>
      <c r="O6" s="19" t="s">
        <v>7</v>
      </c>
      <c r="P6" s="16" t="s">
        <v>4</v>
      </c>
    </row>
    <row r="7" spans="1:16" x14ac:dyDescent="0.2">
      <c r="D7" s="23"/>
      <c r="E7" s="24"/>
      <c r="G7" s="25"/>
      <c r="L7" s="25"/>
    </row>
    <row r="8" spans="1:16" x14ac:dyDescent="0.2">
      <c r="A8">
        <v>303</v>
      </c>
      <c r="D8" s="39" t="s">
        <v>169</v>
      </c>
      <c r="G8" s="26">
        <v>23632.400000000001</v>
      </c>
      <c r="I8" s="26">
        <f>62522.32-88460</f>
        <v>-25937.68</v>
      </c>
      <c r="J8" s="26"/>
      <c r="K8" s="26"/>
      <c r="L8" s="25">
        <f>SUM(G8:K8)</f>
        <v>-2305.2799999999988</v>
      </c>
      <c r="M8" s="82" t="s">
        <v>384</v>
      </c>
      <c r="O8" s="3">
        <f>L8</f>
        <v>-2305.2799999999988</v>
      </c>
      <c r="P8" t="s">
        <v>322</v>
      </c>
    </row>
    <row r="9" spans="1:16" x14ac:dyDescent="0.2">
      <c r="D9" s="39"/>
      <c r="G9" s="26"/>
      <c r="I9" s="26"/>
      <c r="J9" s="26"/>
      <c r="K9" s="26"/>
      <c r="L9" s="25"/>
      <c r="O9"/>
      <c r="P9"/>
    </row>
    <row r="10" spans="1:16" x14ac:dyDescent="0.2">
      <c r="A10">
        <v>601</v>
      </c>
      <c r="D10" s="39" t="s">
        <v>169</v>
      </c>
      <c r="G10" s="26">
        <v>115724.41</v>
      </c>
      <c r="I10" s="26">
        <f>188674.07-121070.36</f>
        <v>67603.710000000006</v>
      </c>
      <c r="J10" s="26"/>
      <c r="K10" s="26"/>
      <c r="L10" s="25">
        <f>SUM(G10:K10)</f>
        <v>183328.12</v>
      </c>
      <c r="M10" s="82" t="s">
        <v>384</v>
      </c>
      <c r="N10" s="6" t="s">
        <v>14</v>
      </c>
      <c r="O10" s="3">
        <f>SUM(L10:L11)</f>
        <v>183328.12</v>
      </c>
    </row>
    <row r="11" spans="1:16" x14ac:dyDescent="0.2">
      <c r="D11" s="24"/>
      <c r="G11" s="26"/>
      <c r="I11" s="26"/>
      <c r="J11" s="26"/>
      <c r="K11" s="26"/>
      <c r="L11" s="25"/>
    </row>
    <row r="12" spans="1:16" x14ac:dyDescent="0.2">
      <c r="D12" s="24"/>
      <c r="G12" s="26"/>
      <c r="I12" s="26"/>
      <c r="J12" s="26"/>
      <c r="K12" s="26"/>
      <c r="L12" s="25"/>
    </row>
    <row r="13" spans="1:16" x14ac:dyDescent="0.2">
      <c r="D13" s="24" t="s">
        <v>140</v>
      </c>
      <c r="L13" s="25"/>
      <c r="P13"/>
    </row>
    <row r="14" spans="1:16" x14ac:dyDescent="0.2">
      <c r="D14" s="27"/>
      <c r="E14" s="42" t="s">
        <v>70</v>
      </c>
      <c r="G14" s="3">
        <v>-23632.400000000001</v>
      </c>
      <c r="H14" s="4" t="s">
        <v>369</v>
      </c>
      <c r="I14" s="3">
        <v>23632.400000000001</v>
      </c>
      <c r="L14" s="25">
        <f>SUM(G14:K14)</f>
        <v>0</v>
      </c>
      <c r="N14" s="6" t="s">
        <v>8</v>
      </c>
      <c r="O14" s="3">
        <f>+L14+L15-L17</f>
        <v>-181022.84</v>
      </c>
      <c r="P14"/>
    </row>
    <row r="15" spans="1:16" x14ac:dyDescent="0.2">
      <c r="D15" s="23"/>
      <c r="E15" s="42" t="s">
        <v>134</v>
      </c>
      <c r="G15" s="26">
        <f>-116225.04+500.63</f>
        <v>-115724.40999999999</v>
      </c>
      <c r="H15" s="4" t="s">
        <v>369</v>
      </c>
      <c r="I15" s="26">
        <v>-23632.400000000001</v>
      </c>
      <c r="J15" s="26"/>
      <c r="K15" s="26"/>
      <c r="L15" s="25">
        <f>SUM(G15:K15)</f>
        <v>-139356.81</v>
      </c>
      <c r="N15" s="6" t="s">
        <v>8</v>
      </c>
      <c r="P15"/>
    </row>
    <row r="16" spans="1:16" x14ac:dyDescent="0.2">
      <c r="G16" s="28"/>
      <c r="I16" s="28"/>
      <c r="J16" s="28"/>
      <c r="K16" s="28"/>
      <c r="L16" s="25"/>
      <c r="P16"/>
    </row>
    <row r="17" spans="1:18" x14ac:dyDescent="0.2">
      <c r="E17" s="24" t="s">
        <v>9</v>
      </c>
      <c r="G17" s="29">
        <f>SUM(G7:G16)</f>
        <v>0</v>
      </c>
      <c r="I17" s="29">
        <f>SUM(I7:I16)</f>
        <v>41666.030000000006</v>
      </c>
      <c r="J17" s="29">
        <f>SUM(J7:J16)</f>
        <v>0</v>
      </c>
      <c r="K17" s="29">
        <f>SUM(K7:K16)</f>
        <v>0</v>
      </c>
      <c r="L17" s="83">
        <f>SUM(H17:K17)</f>
        <v>41666.030000000006</v>
      </c>
      <c r="N17" s="6" t="s">
        <v>8</v>
      </c>
      <c r="O17" s="30">
        <f>SUM(O8:O16)</f>
        <v>0</v>
      </c>
    </row>
    <row r="18" spans="1:18" x14ac:dyDescent="0.2">
      <c r="G18" s="22"/>
      <c r="I18" s="22"/>
      <c r="J18" s="22"/>
      <c r="K18" s="22"/>
      <c r="L18" s="22"/>
    </row>
    <row r="19" spans="1:18" x14ac:dyDescent="0.2">
      <c r="D19" s="1" t="s">
        <v>69</v>
      </c>
      <c r="E19" s="24"/>
      <c r="G19" s="26"/>
      <c r="L19" s="25"/>
    </row>
    <row r="20" spans="1:18" x14ac:dyDescent="0.2">
      <c r="D20" s="1"/>
      <c r="E20" s="24"/>
      <c r="G20" s="26"/>
      <c r="L20" s="25"/>
    </row>
    <row r="21" spans="1:18" x14ac:dyDescent="0.2">
      <c r="D21" s="39" t="s">
        <v>71</v>
      </c>
      <c r="E21" s="42"/>
      <c r="G21" s="26"/>
      <c r="L21" s="25"/>
      <c r="O21"/>
      <c r="P21"/>
    </row>
    <row r="22" spans="1:18" x14ac:dyDescent="0.2">
      <c r="D22" s="43" t="s">
        <v>72</v>
      </c>
      <c r="E22" s="42"/>
      <c r="G22" s="26"/>
      <c r="L22" s="25"/>
      <c r="O22"/>
      <c r="P22"/>
    </row>
    <row r="23" spans="1:18" x14ac:dyDescent="0.2">
      <c r="A23">
        <v>601</v>
      </c>
      <c r="B23">
        <v>32152</v>
      </c>
      <c r="D23" s="43"/>
      <c r="E23" s="42" t="s">
        <v>331</v>
      </c>
      <c r="G23" s="26"/>
      <c r="I23" s="3">
        <v>-1050</v>
      </c>
      <c r="L23" s="25">
        <f t="shared" ref="L23:L25" si="0">SUM(I23:K23)</f>
        <v>-1050</v>
      </c>
      <c r="M23" s="81">
        <v>4003</v>
      </c>
      <c r="O23"/>
      <c r="P23"/>
    </row>
    <row r="24" spans="1:18" x14ac:dyDescent="0.2">
      <c r="A24">
        <v>601</v>
      </c>
      <c r="B24">
        <v>32153</v>
      </c>
      <c r="D24" s="43"/>
      <c r="E24" s="42" t="s">
        <v>332</v>
      </c>
      <c r="G24" s="26"/>
      <c r="I24" s="3">
        <v>-1500</v>
      </c>
      <c r="L24" s="25">
        <f t="shared" si="0"/>
        <v>-1500</v>
      </c>
      <c r="M24" s="81">
        <v>4003</v>
      </c>
      <c r="O24"/>
      <c r="P24"/>
    </row>
    <row r="25" spans="1:18" x14ac:dyDescent="0.2">
      <c r="A25">
        <v>601</v>
      </c>
      <c r="B25">
        <v>36240</v>
      </c>
      <c r="D25" s="43"/>
      <c r="E25" s="42" t="s">
        <v>333</v>
      </c>
      <c r="G25" s="26"/>
      <c r="I25" s="3">
        <v>-1580</v>
      </c>
      <c r="L25" s="25">
        <f t="shared" si="0"/>
        <v>-1580</v>
      </c>
      <c r="M25" s="81">
        <v>4003</v>
      </c>
      <c r="O25"/>
      <c r="P25"/>
    </row>
    <row r="26" spans="1:18" x14ac:dyDescent="0.2">
      <c r="A26">
        <v>601</v>
      </c>
      <c r="B26">
        <v>37110</v>
      </c>
      <c r="D26" s="23"/>
      <c r="E26" s="42" t="s">
        <v>116</v>
      </c>
      <c r="G26" s="26">
        <v>-177779.5</v>
      </c>
      <c r="I26" s="26">
        <v>-178026.87</v>
      </c>
      <c r="J26" s="26"/>
      <c r="K26" s="26"/>
      <c r="L26" s="25">
        <f t="shared" ref="L26:L37" si="1">SUM(I26:K26)</f>
        <v>-178026.87</v>
      </c>
      <c r="M26" s="81">
        <v>4002</v>
      </c>
      <c r="N26" s="6" t="s">
        <v>14</v>
      </c>
      <c r="O26" s="3">
        <f>SUM(L23:L26,L27,L29:L29,L28)</f>
        <v>-188674.07</v>
      </c>
      <c r="P26"/>
    </row>
    <row r="27" spans="1:18" x14ac:dyDescent="0.2">
      <c r="A27">
        <v>601</v>
      </c>
      <c r="B27">
        <v>37170</v>
      </c>
      <c r="D27" s="23"/>
      <c r="E27" s="42" t="s">
        <v>276</v>
      </c>
      <c r="G27" s="26">
        <v>-5177.09</v>
      </c>
      <c r="I27" s="26">
        <v>-5061.3500000000004</v>
      </c>
      <c r="J27" s="26"/>
      <c r="K27" s="26"/>
      <c r="L27" s="25">
        <f t="shared" si="1"/>
        <v>-5061.3500000000004</v>
      </c>
      <c r="M27" s="81">
        <v>4003</v>
      </c>
      <c r="N27" s="6" t="s">
        <v>14</v>
      </c>
      <c r="P27"/>
      <c r="Q27" s="71">
        <f>SUMIF(B20:B193,122,K20:K193)</f>
        <v>0</v>
      </c>
      <c r="R27" s="71">
        <f>SUMIF(C20:C193,122,L20:L193)</f>
        <v>1332.12</v>
      </c>
    </row>
    <row r="28" spans="1:18" x14ac:dyDescent="0.2">
      <c r="A28">
        <v>601</v>
      </c>
      <c r="B28">
        <v>37171</v>
      </c>
      <c r="D28" s="23"/>
      <c r="E28" s="42" t="s">
        <v>277</v>
      </c>
      <c r="G28" s="26">
        <v>-4646.4799999999996</v>
      </c>
      <c r="I28" s="26">
        <v>-739.38</v>
      </c>
      <c r="J28" s="26"/>
      <c r="K28" s="26"/>
      <c r="L28" s="25">
        <f t="shared" si="1"/>
        <v>-739.38</v>
      </c>
      <c r="M28" s="81">
        <v>4001</v>
      </c>
      <c r="N28" s="6" t="s">
        <v>14</v>
      </c>
      <c r="P28"/>
      <c r="R28" s="71">
        <f>SUMIF(C21:C194,135,L21:L194)</f>
        <v>311.33</v>
      </c>
    </row>
    <row r="29" spans="1:18" x14ac:dyDescent="0.2">
      <c r="A29">
        <v>601</v>
      </c>
      <c r="B29">
        <v>37210</v>
      </c>
      <c r="D29" s="23"/>
      <c r="E29" s="42" t="s">
        <v>278</v>
      </c>
      <c r="G29" s="26">
        <v>-1656.8</v>
      </c>
      <c r="I29" s="26">
        <v>-716.47</v>
      </c>
      <c r="J29" s="26"/>
      <c r="K29" s="26"/>
      <c r="L29" s="25">
        <f t="shared" si="1"/>
        <v>-716.47</v>
      </c>
      <c r="M29" s="81">
        <v>4003</v>
      </c>
      <c r="N29" s="6" t="s">
        <v>14</v>
      </c>
      <c r="O29"/>
      <c r="P29"/>
      <c r="R29" s="71">
        <f>SUMIF(C22:C195,121,L22:L195)</f>
        <v>1704.66</v>
      </c>
    </row>
    <row r="30" spans="1:18" x14ac:dyDescent="0.2">
      <c r="D30" s="23"/>
      <c r="E30" s="42"/>
      <c r="G30" s="26"/>
      <c r="I30" s="26"/>
      <c r="J30" s="26"/>
      <c r="K30" s="26"/>
      <c r="L30" s="25"/>
      <c r="O30"/>
      <c r="P30"/>
    </row>
    <row r="31" spans="1:18" x14ac:dyDescent="0.2">
      <c r="D31" s="39" t="s">
        <v>176</v>
      </c>
      <c r="E31" s="42"/>
      <c r="G31" s="26"/>
      <c r="I31" s="26"/>
      <c r="J31" s="26"/>
      <c r="K31" s="26"/>
      <c r="L31" s="25"/>
      <c r="O31"/>
      <c r="P31"/>
    </row>
    <row r="32" spans="1:18" x14ac:dyDescent="0.2">
      <c r="A32">
        <v>601</v>
      </c>
      <c r="B32">
        <v>33500</v>
      </c>
      <c r="D32" s="39"/>
      <c r="E32" s="42" t="s">
        <v>177</v>
      </c>
      <c r="G32" s="26">
        <v>0</v>
      </c>
      <c r="I32" s="26"/>
      <c r="J32" s="26"/>
      <c r="K32" s="26"/>
      <c r="L32" s="25">
        <f t="shared" si="1"/>
        <v>0</v>
      </c>
      <c r="N32" s="6" t="s">
        <v>153</v>
      </c>
      <c r="O32" s="3">
        <f>+L32</f>
        <v>0</v>
      </c>
      <c r="P32"/>
    </row>
    <row r="33" spans="1:16" x14ac:dyDescent="0.2">
      <c r="A33">
        <v>601</v>
      </c>
      <c r="B33">
        <v>36210</v>
      </c>
      <c r="D33" s="23"/>
      <c r="E33" s="42" t="s">
        <v>112</v>
      </c>
      <c r="G33" s="26">
        <v>0</v>
      </c>
      <c r="I33" s="26"/>
      <c r="J33" s="26"/>
      <c r="K33" s="26"/>
      <c r="L33" s="25">
        <f t="shared" si="1"/>
        <v>0</v>
      </c>
      <c r="M33" s="81"/>
      <c r="N33" s="6" t="s">
        <v>153</v>
      </c>
      <c r="O33" s="3">
        <f>+L33</f>
        <v>0</v>
      </c>
      <c r="P33"/>
    </row>
    <row r="34" spans="1:16" ht="12.75" customHeight="1" x14ac:dyDescent="0.2">
      <c r="A34">
        <v>303</v>
      </c>
      <c r="B34">
        <v>36210</v>
      </c>
      <c r="D34" s="23"/>
      <c r="E34" s="42" t="s">
        <v>112</v>
      </c>
      <c r="G34" s="26">
        <v>-478.23</v>
      </c>
      <c r="I34" s="26">
        <v>-2522.3200000000002</v>
      </c>
      <c r="J34" s="26"/>
      <c r="K34" s="26"/>
      <c r="L34" s="25">
        <f t="shared" si="1"/>
        <v>-2522.3200000000002</v>
      </c>
      <c r="M34" s="81">
        <v>4003</v>
      </c>
      <c r="N34" s="6" t="s">
        <v>153</v>
      </c>
      <c r="O34" s="3">
        <f>+L34</f>
        <v>-2522.3200000000002</v>
      </c>
      <c r="P34"/>
    </row>
    <row r="35" spans="1:16" x14ac:dyDescent="0.2">
      <c r="A35">
        <v>601</v>
      </c>
      <c r="B35">
        <v>36270</v>
      </c>
      <c r="D35" s="23"/>
      <c r="E35" s="42" t="s">
        <v>95</v>
      </c>
      <c r="G35" s="26">
        <v>0</v>
      </c>
      <c r="I35" s="26"/>
      <c r="J35" s="26"/>
      <c r="K35" s="26"/>
      <c r="L35" s="25">
        <f t="shared" si="1"/>
        <v>0</v>
      </c>
      <c r="N35" s="6" t="s">
        <v>153</v>
      </c>
      <c r="O35" s="3">
        <f>+L35</f>
        <v>0</v>
      </c>
      <c r="P35"/>
    </row>
    <row r="36" spans="1:16" x14ac:dyDescent="0.2">
      <c r="A36">
        <v>601</v>
      </c>
      <c r="B36">
        <v>39990</v>
      </c>
      <c r="D36" s="23"/>
      <c r="E36" s="42" t="s">
        <v>80</v>
      </c>
      <c r="G36" s="26">
        <v>0</v>
      </c>
      <c r="I36" s="26"/>
      <c r="J36" s="26"/>
      <c r="K36" s="26"/>
      <c r="L36" s="25">
        <f t="shared" si="1"/>
        <v>0</v>
      </c>
      <c r="N36" s="6" t="s">
        <v>153</v>
      </c>
      <c r="O36" s="3">
        <f>+L36</f>
        <v>0</v>
      </c>
      <c r="P36"/>
    </row>
    <row r="37" spans="1:16" ht="12.75" customHeight="1" x14ac:dyDescent="0.2">
      <c r="A37">
        <v>303</v>
      </c>
      <c r="B37">
        <v>39202</v>
      </c>
      <c r="D37" s="39"/>
      <c r="E37" s="42" t="s">
        <v>319</v>
      </c>
      <c r="G37" s="26">
        <v>0</v>
      </c>
      <c r="H37" s="4" t="s">
        <v>350</v>
      </c>
      <c r="I37" s="26">
        <v>-60000</v>
      </c>
      <c r="J37" s="26">
        <v>60000</v>
      </c>
      <c r="K37" s="26"/>
      <c r="L37" s="25">
        <f t="shared" si="1"/>
        <v>0</v>
      </c>
      <c r="M37" s="81"/>
      <c r="P37"/>
    </row>
    <row r="38" spans="1:16" x14ac:dyDescent="0.2">
      <c r="D38" s="23"/>
      <c r="E38" s="42"/>
      <c r="G38" s="26"/>
      <c r="L38" s="25"/>
    </row>
    <row r="39" spans="1:16" x14ac:dyDescent="0.2">
      <c r="D39" s="23"/>
      <c r="E39" s="24"/>
      <c r="G39" s="29">
        <f>SUM(G21:G38)</f>
        <v>-189738.1</v>
      </c>
      <c r="I39" s="29">
        <f>SUM(I21:I38)</f>
        <v>-251196.39</v>
      </c>
      <c r="J39" s="29">
        <f>SUM(J21:J38)</f>
        <v>60000</v>
      </c>
      <c r="K39" s="29">
        <f>SUM(K21:K38)</f>
        <v>0</v>
      </c>
      <c r="L39" s="29">
        <f>SUM(L21:L38)</f>
        <v>-191196.39</v>
      </c>
      <c r="O39" s="70">
        <f>SUM(O22:O38)</f>
        <v>-191196.39</v>
      </c>
    </row>
    <row r="40" spans="1:16" x14ac:dyDescent="0.2">
      <c r="D40" s="23"/>
      <c r="E40" s="24"/>
      <c r="G40" s="26"/>
      <c r="L40" s="25"/>
    </row>
    <row r="41" spans="1:16" x14ac:dyDescent="0.2">
      <c r="D41" s="1" t="s">
        <v>13</v>
      </c>
      <c r="E41" s="24"/>
      <c r="G41" s="26"/>
      <c r="L41" s="25"/>
    </row>
    <row r="42" spans="1:16" ht="12.75" customHeight="1" x14ac:dyDescent="0.2">
      <c r="P42">
        <f>SUMIF(C45:C224,"121",L45:L224)</f>
        <v>1704.66</v>
      </c>
    </row>
    <row r="43" spans="1:16" x14ac:dyDescent="0.2">
      <c r="D43" s="39" t="s">
        <v>73</v>
      </c>
      <c r="E43" s="24"/>
      <c r="G43" s="26"/>
      <c r="L43" s="25"/>
      <c r="O43"/>
      <c r="P43"/>
    </row>
    <row r="44" spans="1:16" x14ac:dyDescent="0.2">
      <c r="D44" s="43" t="s">
        <v>74</v>
      </c>
      <c r="E44" s="24"/>
      <c r="G44" s="26"/>
      <c r="L44" s="25"/>
      <c r="O44"/>
      <c r="P44"/>
    </row>
    <row r="45" spans="1:16" x14ac:dyDescent="0.2">
      <c r="A45">
        <v>601</v>
      </c>
      <c r="B45">
        <v>49440</v>
      </c>
      <c r="C45">
        <v>101</v>
      </c>
      <c r="D45" s="43"/>
      <c r="E45" s="42" t="s">
        <v>89</v>
      </c>
      <c r="G45" s="26">
        <v>12574.09</v>
      </c>
      <c r="I45" s="3">
        <v>14716.52</v>
      </c>
      <c r="L45" s="25">
        <f t="shared" ref="L45:L80" si="2">SUM(I45:K45)</f>
        <v>14716.52</v>
      </c>
      <c r="N45" s="6">
        <v>1</v>
      </c>
      <c r="O45" s="3">
        <f>SUM(L45:L57,L69)</f>
        <v>30532.930000000004</v>
      </c>
      <c r="P45" t="s">
        <v>75</v>
      </c>
    </row>
    <row r="46" spans="1:16" x14ac:dyDescent="0.2">
      <c r="A46">
        <v>601</v>
      </c>
      <c r="B46">
        <v>49440</v>
      </c>
      <c r="C46">
        <v>103</v>
      </c>
      <c r="D46" s="43"/>
      <c r="E46" s="42" t="s">
        <v>340</v>
      </c>
      <c r="G46" s="26">
        <v>0</v>
      </c>
      <c r="I46" s="3">
        <v>4987.6899999999996</v>
      </c>
      <c r="L46" s="25">
        <f t="shared" si="2"/>
        <v>4987.6899999999996</v>
      </c>
      <c r="P46"/>
    </row>
    <row r="47" spans="1:16" x14ac:dyDescent="0.2">
      <c r="A47">
        <v>601</v>
      </c>
      <c r="B47">
        <v>49440</v>
      </c>
      <c r="C47">
        <v>106</v>
      </c>
      <c r="D47" s="43"/>
      <c r="E47" s="42" t="s">
        <v>98</v>
      </c>
      <c r="G47" s="26">
        <v>1295.8399999999999</v>
      </c>
      <c r="I47" s="3">
        <v>1348.17</v>
      </c>
      <c r="L47" s="25">
        <f t="shared" si="2"/>
        <v>1348.17</v>
      </c>
      <c r="N47" s="6">
        <v>1</v>
      </c>
      <c r="O47"/>
      <c r="P47"/>
    </row>
    <row r="48" spans="1:16" x14ac:dyDescent="0.2">
      <c r="A48">
        <v>601</v>
      </c>
      <c r="B48">
        <v>49440</v>
      </c>
      <c r="C48">
        <v>107</v>
      </c>
      <c r="D48" s="43"/>
      <c r="E48" s="42" t="s">
        <v>283</v>
      </c>
      <c r="G48" s="26">
        <v>1159.5899999999999</v>
      </c>
      <c r="I48" s="3">
        <v>1616.08</v>
      </c>
      <c r="L48" s="25">
        <f t="shared" si="2"/>
        <v>1616.08</v>
      </c>
      <c r="N48" s="6">
        <v>1</v>
      </c>
      <c r="O48"/>
      <c r="P48"/>
    </row>
    <row r="49" spans="1:16" x14ac:dyDescent="0.2">
      <c r="A49">
        <v>601</v>
      </c>
      <c r="B49">
        <v>49440</v>
      </c>
      <c r="C49">
        <v>108</v>
      </c>
      <c r="D49" s="43"/>
      <c r="E49" s="42" t="s">
        <v>215</v>
      </c>
      <c r="G49" s="26">
        <v>253.05</v>
      </c>
      <c r="I49" s="3">
        <v>311.31</v>
      </c>
      <c r="L49" s="25">
        <f t="shared" si="2"/>
        <v>311.31</v>
      </c>
      <c r="N49" s="6">
        <v>1</v>
      </c>
      <c r="O49"/>
      <c r="P49"/>
    </row>
    <row r="50" spans="1:16" x14ac:dyDescent="0.2">
      <c r="A50">
        <v>601</v>
      </c>
      <c r="B50">
        <v>49440</v>
      </c>
      <c r="C50">
        <v>112</v>
      </c>
      <c r="D50" s="43"/>
      <c r="E50" s="42" t="s">
        <v>244</v>
      </c>
      <c r="G50" s="26">
        <v>195</v>
      </c>
      <c r="I50" s="3">
        <v>392.16</v>
      </c>
      <c r="L50" s="25">
        <f t="shared" si="2"/>
        <v>392.16</v>
      </c>
      <c r="N50" s="6">
        <v>1</v>
      </c>
      <c r="O50"/>
      <c r="P50"/>
    </row>
    <row r="51" spans="1:16" x14ac:dyDescent="0.2">
      <c r="A51">
        <v>601</v>
      </c>
      <c r="B51">
        <v>49440</v>
      </c>
      <c r="C51">
        <v>113</v>
      </c>
      <c r="D51" s="43"/>
      <c r="E51" s="42" t="s">
        <v>271</v>
      </c>
      <c r="G51" s="26">
        <v>1082.04</v>
      </c>
      <c r="I51" s="3">
        <v>1332.13</v>
      </c>
      <c r="L51" s="25">
        <f t="shared" si="2"/>
        <v>1332.13</v>
      </c>
      <c r="N51" s="6">
        <v>1</v>
      </c>
      <c r="O51"/>
      <c r="P51"/>
    </row>
    <row r="52" spans="1:16" x14ac:dyDescent="0.2">
      <c r="A52">
        <v>601</v>
      </c>
      <c r="B52">
        <v>49440</v>
      </c>
      <c r="C52">
        <v>114</v>
      </c>
      <c r="D52" s="43"/>
      <c r="E52" s="42" t="s">
        <v>245</v>
      </c>
      <c r="G52" s="26">
        <v>847.3</v>
      </c>
      <c r="I52" s="3">
        <v>384.31</v>
      </c>
      <c r="L52" s="25">
        <f t="shared" si="2"/>
        <v>384.31</v>
      </c>
      <c r="N52" s="6">
        <v>1</v>
      </c>
      <c r="O52"/>
      <c r="P52"/>
    </row>
    <row r="53" spans="1:16" x14ac:dyDescent="0.2">
      <c r="A53">
        <v>601</v>
      </c>
      <c r="B53">
        <v>49440</v>
      </c>
      <c r="C53">
        <v>121</v>
      </c>
      <c r="D53" s="43"/>
      <c r="E53" s="42" t="s">
        <v>99</v>
      </c>
      <c r="G53" s="26">
        <v>1356.11</v>
      </c>
      <c r="I53" s="3">
        <v>1704.66</v>
      </c>
      <c r="L53" s="25">
        <f t="shared" si="2"/>
        <v>1704.66</v>
      </c>
      <c r="N53" s="6">
        <v>1</v>
      </c>
      <c r="O53"/>
      <c r="P53"/>
    </row>
    <row r="54" spans="1:16" x14ac:dyDescent="0.2">
      <c r="A54">
        <v>601</v>
      </c>
      <c r="B54">
        <v>49440</v>
      </c>
      <c r="C54">
        <v>122</v>
      </c>
      <c r="D54" s="43"/>
      <c r="E54" s="42" t="s">
        <v>100</v>
      </c>
      <c r="G54" s="26">
        <v>1082.01</v>
      </c>
      <c r="I54" s="3">
        <v>1332.12</v>
      </c>
      <c r="L54" s="25">
        <f t="shared" si="2"/>
        <v>1332.12</v>
      </c>
      <c r="N54" s="6">
        <v>1</v>
      </c>
      <c r="O54"/>
      <c r="P54"/>
    </row>
    <row r="55" spans="1:16" x14ac:dyDescent="0.2">
      <c r="A55">
        <v>601</v>
      </c>
      <c r="B55">
        <v>49440</v>
      </c>
      <c r="C55">
        <v>135</v>
      </c>
      <c r="D55" s="39"/>
      <c r="E55" s="42" t="s">
        <v>101</v>
      </c>
      <c r="G55" s="26">
        <v>253.04</v>
      </c>
      <c r="I55" s="3">
        <v>311.33</v>
      </c>
      <c r="L55" s="25">
        <f t="shared" si="2"/>
        <v>311.33</v>
      </c>
      <c r="N55" s="6">
        <v>1</v>
      </c>
    </row>
    <row r="56" spans="1:16" x14ac:dyDescent="0.2">
      <c r="A56">
        <v>601</v>
      </c>
      <c r="B56">
        <v>49440</v>
      </c>
      <c r="C56">
        <v>136</v>
      </c>
      <c r="D56" s="39"/>
      <c r="E56" s="42" t="s">
        <v>248</v>
      </c>
      <c r="G56" s="26">
        <v>1100</v>
      </c>
      <c r="I56" s="3">
        <v>700</v>
      </c>
      <c r="L56" s="25">
        <f t="shared" si="2"/>
        <v>700</v>
      </c>
      <c r="N56" s="6">
        <v>1</v>
      </c>
    </row>
    <row r="57" spans="1:16" x14ac:dyDescent="0.2">
      <c r="A57">
        <v>601</v>
      </c>
      <c r="B57">
        <v>49440</v>
      </c>
      <c r="C57">
        <v>172</v>
      </c>
      <c r="D57" s="39"/>
      <c r="E57" s="42" t="s">
        <v>284</v>
      </c>
      <c r="G57" s="26">
        <v>828.55</v>
      </c>
      <c r="I57" s="3">
        <v>764.45</v>
      </c>
      <c r="L57" s="25">
        <f t="shared" si="2"/>
        <v>764.45</v>
      </c>
      <c r="N57" s="6">
        <v>1</v>
      </c>
    </row>
    <row r="58" spans="1:16" x14ac:dyDescent="0.2">
      <c r="A58">
        <v>601</v>
      </c>
      <c r="B58">
        <v>49440</v>
      </c>
      <c r="C58">
        <v>208</v>
      </c>
      <c r="D58" s="39"/>
      <c r="E58" s="42" t="s">
        <v>85</v>
      </c>
      <c r="G58" s="26">
        <v>189.62</v>
      </c>
      <c r="I58" s="3">
        <v>564.47</v>
      </c>
      <c r="L58" s="25">
        <f t="shared" si="2"/>
        <v>564.47</v>
      </c>
      <c r="N58" s="6">
        <v>3</v>
      </c>
      <c r="O58" s="3">
        <f>SUM(L58:L59)</f>
        <v>5488.54</v>
      </c>
      <c r="P58" t="s">
        <v>91</v>
      </c>
    </row>
    <row r="59" spans="1:16" x14ac:dyDescent="0.2">
      <c r="A59">
        <v>601</v>
      </c>
      <c r="B59">
        <v>49440</v>
      </c>
      <c r="C59">
        <v>216</v>
      </c>
      <c r="D59" s="39"/>
      <c r="E59" s="42" t="s">
        <v>86</v>
      </c>
      <c r="G59" s="26">
        <v>8492.44</v>
      </c>
      <c r="I59" s="3">
        <v>4924.07</v>
      </c>
      <c r="L59" s="25">
        <f t="shared" si="2"/>
        <v>4924.07</v>
      </c>
      <c r="N59" s="6">
        <v>3</v>
      </c>
      <c r="O59"/>
      <c r="P59"/>
    </row>
    <row r="60" spans="1:16" x14ac:dyDescent="0.2">
      <c r="A60">
        <v>601</v>
      </c>
      <c r="B60">
        <v>49440</v>
      </c>
      <c r="C60">
        <v>228</v>
      </c>
      <c r="D60" s="39"/>
      <c r="E60" s="42" t="s">
        <v>102</v>
      </c>
      <c r="G60" s="26">
        <v>5876.53</v>
      </c>
      <c r="I60" s="3">
        <v>1182.71</v>
      </c>
      <c r="L60" s="25">
        <f t="shared" si="2"/>
        <v>1182.71</v>
      </c>
      <c r="N60" s="6">
        <v>4</v>
      </c>
      <c r="O60" s="3">
        <f>L60</f>
        <v>1182.71</v>
      </c>
      <c r="P60" t="s">
        <v>113</v>
      </c>
    </row>
    <row r="61" spans="1:16" x14ac:dyDescent="0.2">
      <c r="A61">
        <v>601</v>
      </c>
      <c r="B61">
        <v>49440</v>
      </c>
      <c r="C61">
        <v>309</v>
      </c>
      <c r="D61" s="39"/>
      <c r="E61" s="42" t="s">
        <v>78</v>
      </c>
      <c r="G61" s="26">
        <v>2499.8200000000002</v>
      </c>
      <c r="I61" s="3">
        <v>5576.35</v>
      </c>
      <c r="L61" s="25">
        <f t="shared" si="2"/>
        <v>5576.35</v>
      </c>
      <c r="N61" s="6">
        <v>7</v>
      </c>
      <c r="O61" s="3">
        <f>SUM(L61,L76:L76)</f>
        <v>6171.35</v>
      </c>
      <c r="P61" t="s">
        <v>104</v>
      </c>
    </row>
    <row r="62" spans="1:16" x14ac:dyDescent="0.2">
      <c r="A62">
        <v>601</v>
      </c>
      <c r="B62">
        <v>49440</v>
      </c>
      <c r="C62">
        <v>310</v>
      </c>
      <c r="D62" s="39"/>
      <c r="E62" s="42" t="s">
        <v>211</v>
      </c>
      <c r="G62" s="26">
        <v>281.38</v>
      </c>
      <c r="I62" s="3">
        <v>567.34</v>
      </c>
      <c r="L62" s="25">
        <f t="shared" si="2"/>
        <v>567.34</v>
      </c>
      <c r="N62" s="6">
        <v>8</v>
      </c>
      <c r="P62"/>
    </row>
    <row r="63" spans="1:16" x14ac:dyDescent="0.2">
      <c r="A63">
        <v>601</v>
      </c>
      <c r="B63">
        <v>49440</v>
      </c>
      <c r="C63">
        <v>321</v>
      </c>
      <c r="D63" s="39"/>
      <c r="E63" s="42" t="s">
        <v>96</v>
      </c>
      <c r="G63" s="26">
        <v>709.41</v>
      </c>
      <c r="I63" s="3">
        <v>687.78</v>
      </c>
      <c r="L63" s="25">
        <f t="shared" si="2"/>
        <v>687.78</v>
      </c>
      <c r="N63" s="6">
        <v>8</v>
      </c>
      <c r="P63"/>
    </row>
    <row r="64" spans="1:16" x14ac:dyDescent="0.2">
      <c r="A64">
        <v>601</v>
      </c>
      <c r="B64">
        <v>49440</v>
      </c>
      <c r="C64">
        <v>322</v>
      </c>
      <c r="D64" s="39"/>
      <c r="E64" s="42" t="s">
        <v>82</v>
      </c>
      <c r="G64" s="26">
        <v>678.57</v>
      </c>
      <c r="I64" s="3">
        <v>588.41</v>
      </c>
      <c r="L64" s="25">
        <f t="shared" si="2"/>
        <v>588.41</v>
      </c>
      <c r="N64" s="6">
        <v>8</v>
      </c>
      <c r="O64" s="3">
        <f>SUM(L62:L68,L77:L78,L74:L75,L80)</f>
        <v>7542.42</v>
      </c>
      <c r="P64" t="s">
        <v>43</v>
      </c>
    </row>
    <row r="65" spans="1:16" x14ac:dyDescent="0.2">
      <c r="A65">
        <v>601</v>
      </c>
      <c r="B65">
        <v>49490</v>
      </c>
      <c r="C65">
        <v>322</v>
      </c>
      <c r="D65" s="39"/>
      <c r="E65" s="42" t="s">
        <v>82</v>
      </c>
      <c r="G65" s="26">
        <v>0</v>
      </c>
      <c r="I65" s="3">
        <v>168</v>
      </c>
      <c r="L65" s="25">
        <f t="shared" si="2"/>
        <v>168</v>
      </c>
      <c r="N65" s="6">
        <v>8</v>
      </c>
      <c r="P65"/>
    </row>
    <row r="66" spans="1:16" x14ac:dyDescent="0.2">
      <c r="A66">
        <v>601</v>
      </c>
      <c r="B66">
        <v>49440</v>
      </c>
      <c r="C66">
        <v>325</v>
      </c>
      <c r="D66" s="39"/>
      <c r="E66" s="42" t="s">
        <v>341</v>
      </c>
      <c r="G66" s="26">
        <v>0</v>
      </c>
      <c r="I66" s="3">
        <v>726.51</v>
      </c>
      <c r="L66" s="25">
        <f t="shared" si="2"/>
        <v>726.51</v>
      </c>
      <c r="N66" s="6">
        <v>8</v>
      </c>
      <c r="P66"/>
    </row>
    <row r="67" spans="1:16" x14ac:dyDescent="0.2">
      <c r="A67">
        <v>601</v>
      </c>
      <c r="B67">
        <v>49440</v>
      </c>
      <c r="C67">
        <v>331</v>
      </c>
      <c r="D67" s="39"/>
      <c r="E67" s="42" t="s">
        <v>146</v>
      </c>
      <c r="G67" s="26"/>
      <c r="I67" s="3">
        <v>268</v>
      </c>
      <c r="L67" s="25">
        <f t="shared" si="2"/>
        <v>268</v>
      </c>
      <c r="N67" s="6">
        <v>8</v>
      </c>
      <c r="P67"/>
    </row>
    <row r="68" spans="1:16" x14ac:dyDescent="0.2">
      <c r="A68">
        <v>601</v>
      </c>
      <c r="B68">
        <v>49440</v>
      </c>
      <c r="C68">
        <v>334</v>
      </c>
      <c r="D68" s="39"/>
      <c r="E68" s="42" t="s">
        <v>224</v>
      </c>
      <c r="G68" s="26">
        <v>203.18</v>
      </c>
      <c r="I68" s="3">
        <v>0</v>
      </c>
      <c r="L68" s="25">
        <f t="shared" si="2"/>
        <v>0</v>
      </c>
      <c r="N68" s="6">
        <v>8</v>
      </c>
      <c r="P68"/>
    </row>
    <row r="69" spans="1:16" x14ac:dyDescent="0.2">
      <c r="A69">
        <v>601</v>
      </c>
      <c r="B69">
        <v>49440</v>
      </c>
      <c r="C69">
        <v>365</v>
      </c>
      <c r="D69" s="39"/>
      <c r="E69" s="42" t="s">
        <v>275</v>
      </c>
      <c r="G69" s="26">
        <v>632</v>
      </c>
      <c r="I69" s="3">
        <v>632</v>
      </c>
      <c r="L69" s="25">
        <f t="shared" si="2"/>
        <v>632</v>
      </c>
      <c r="N69" s="6">
        <v>1</v>
      </c>
      <c r="P69"/>
    </row>
    <row r="70" spans="1:16" x14ac:dyDescent="0.2">
      <c r="A70">
        <v>601</v>
      </c>
      <c r="B70">
        <v>49440</v>
      </c>
      <c r="C70">
        <v>366</v>
      </c>
      <c r="D70" s="39"/>
      <c r="E70" s="42" t="s">
        <v>77</v>
      </c>
      <c r="G70" s="26">
        <v>5000</v>
      </c>
      <c r="I70" s="3">
        <v>5559</v>
      </c>
      <c r="L70" s="25">
        <f t="shared" si="2"/>
        <v>5559</v>
      </c>
      <c r="N70" s="6">
        <v>5</v>
      </c>
      <c r="O70" s="3">
        <f>SUM(L70)</f>
        <v>5559</v>
      </c>
      <c r="P70" t="s">
        <v>77</v>
      </c>
    </row>
    <row r="71" spans="1:16" x14ac:dyDescent="0.2">
      <c r="A71">
        <v>601</v>
      </c>
      <c r="B71">
        <v>49440</v>
      </c>
      <c r="C71">
        <v>381</v>
      </c>
      <c r="D71" s="39"/>
      <c r="E71" s="42" t="s">
        <v>84</v>
      </c>
      <c r="G71" s="26">
        <v>2932.84</v>
      </c>
      <c r="I71" s="3">
        <v>2614.06</v>
      </c>
      <c r="L71" s="25">
        <f t="shared" si="2"/>
        <v>2614.06</v>
      </c>
      <c r="N71" s="6">
        <v>2</v>
      </c>
      <c r="O71" s="3">
        <f>SUM(L71:L73)</f>
        <v>4593.41</v>
      </c>
      <c r="P71" t="s">
        <v>76</v>
      </c>
    </row>
    <row r="72" spans="1:16" x14ac:dyDescent="0.2">
      <c r="A72">
        <v>601</v>
      </c>
      <c r="B72">
        <v>49440</v>
      </c>
      <c r="C72">
        <v>382</v>
      </c>
      <c r="D72" s="39"/>
      <c r="E72" s="42" t="s">
        <v>234</v>
      </c>
      <c r="G72" s="26">
        <v>230.9</v>
      </c>
      <c r="I72" s="3">
        <v>120.2</v>
      </c>
      <c r="L72" s="25">
        <f t="shared" si="2"/>
        <v>120.2</v>
      </c>
      <c r="N72" s="6">
        <v>2</v>
      </c>
      <c r="P72"/>
    </row>
    <row r="73" spans="1:16" x14ac:dyDescent="0.2">
      <c r="A73">
        <v>601</v>
      </c>
      <c r="B73">
        <v>49440</v>
      </c>
      <c r="C73">
        <v>383</v>
      </c>
      <c r="D73" s="39"/>
      <c r="E73" s="42" t="s">
        <v>148</v>
      </c>
      <c r="G73" s="26">
        <v>2114.65</v>
      </c>
      <c r="I73" s="3">
        <v>1859.15</v>
      </c>
      <c r="L73" s="25">
        <f t="shared" si="2"/>
        <v>1859.15</v>
      </c>
      <c r="N73" s="6">
        <v>2</v>
      </c>
      <c r="P73"/>
    </row>
    <row r="74" spans="1:16" x14ac:dyDescent="0.2">
      <c r="A74">
        <v>601</v>
      </c>
      <c r="B74">
        <v>49440</v>
      </c>
      <c r="C74">
        <v>389</v>
      </c>
      <c r="D74" s="39"/>
      <c r="E74" s="42" t="s">
        <v>285</v>
      </c>
      <c r="G74" s="26">
        <v>2216</v>
      </c>
      <c r="I74" s="3">
        <v>2216</v>
      </c>
      <c r="L74" s="25">
        <f t="shared" si="2"/>
        <v>2216</v>
      </c>
      <c r="N74" s="6">
        <v>8</v>
      </c>
      <c r="P74"/>
    </row>
    <row r="75" spans="1:16" x14ac:dyDescent="0.2">
      <c r="A75">
        <v>601</v>
      </c>
      <c r="B75">
        <v>49440</v>
      </c>
      <c r="C75">
        <v>390</v>
      </c>
      <c r="D75" s="39"/>
      <c r="E75" s="42" t="s">
        <v>286</v>
      </c>
      <c r="G75" s="26">
        <v>744</v>
      </c>
      <c r="I75" s="3">
        <v>725</v>
      </c>
      <c r="L75" s="25">
        <f t="shared" si="2"/>
        <v>725</v>
      </c>
      <c r="N75" s="6">
        <v>8</v>
      </c>
      <c r="P75"/>
    </row>
    <row r="76" spans="1:16" x14ac:dyDescent="0.2">
      <c r="A76">
        <v>601</v>
      </c>
      <c r="B76">
        <v>49440</v>
      </c>
      <c r="C76">
        <v>432</v>
      </c>
      <c r="D76" s="43"/>
      <c r="E76" s="42" t="s">
        <v>104</v>
      </c>
      <c r="G76" s="26">
        <v>675.49</v>
      </c>
      <c r="I76" s="3">
        <v>595</v>
      </c>
      <c r="L76" s="25">
        <f t="shared" si="2"/>
        <v>595</v>
      </c>
      <c r="N76" s="6">
        <v>7</v>
      </c>
      <c r="P76"/>
    </row>
    <row r="77" spans="1:16" x14ac:dyDescent="0.2">
      <c r="A77">
        <v>601</v>
      </c>
      <c r="B77">
        <v>49440</v>
      </c>
      <c r="C77">
        <v>433</v>
      </c>
      <c r="D77" s="39"/>
      <c r="E77" s="42" t="s">
        <v>97</v>
      </c>
      <c r="G77" s="26">
        <v>233</v>
      </c>
      <c r="I77" s="26">
        <v>210</v>
      </c>
      <c r="J77" s="26"/>
      <c r="K77" s="26"/>
      <c r="L77" s="25">
        <f t="shared" si="2"/>
        <v>210</v>
      </c>
      <c r="N77" s="6">
        <v>8</v>
      </c>
      <c r="O77"/>
      <c r="P77"/>
    </row>
    <row r="78" spans="1:16" x14ac:dyDescent="0.2">
      <c r="A78">
        <v>601</v>
      </c>
      <c r="B78">
        <v>49440</v>
      </c>
      <c r="C78">
        <v>437</v>
      </c>
      <c r="D78" s="43"/>
      <c r="E78" s="42" t="s">
        <v>114</v>
      </c>
      <c r="G78" s="26">
        <v>0</v>
      </c>
      <c r="I78" s="3">
        <v>25</v>
      </c>
      <c r="L78" s="25">
        <f t="shared" si="2"/>
        <v>25</v>
      </c>
      <c r="N78" s="6">
        <v>8</v>
      </c>
      <c r="P78"/>
    </row>
    <row r="79" spans="1:16" x14ac:dyDescent="0.2">
      <c r="A79">
        <v>601</v>
      </c>
      <c r="B79">
        <v>49440</v>
      </c>
      <c r="C79">
        <v>530</v>
      </c>
      <c r="D79" s="43"/>
      <c r="E79" s="42" t="s">
        <v>287</v>
      </c>
      <c r="G79" s="26">
        <v>0</v>
      </c>
      <c r="I79" s="3">
        <v>0</v>
      </c>
      <c r="L79" s="25">
        <f t="shared" si="2"/>
        <v>0</v>
      </c>
      <c r="N79" s="6">
        <v>9</v>
      </c>
      <c r="O79" s="3">
        <f>SUM(L79:L79)</f>
        <v>0</v>
      </c>
      <c r="P79" t="s">
        <v>56</v>
      </c>
    </row>
    <row r="80" spans="1:16" x14ac:dyDescent="0.2">
      <c r="A80">
        <v>601</v>
      </c>
      <c r="B80">
        <v>49440</v>
      </c>
      <c r="C80">
        <v>810</v>
      </c>
      <c r="D80" s="43"/>
      <c r="E80" s="42" t="s">
        <v>342</v>
      </c>
      <c r="G80" s="26">
        <v>0</v>
      </c>
      <c r="I80" s="3">
        <v>1360.38</v>
      </c>
      <c r="L80" s="25">
        <f t="shared" si="2"/>
        <v>1360.38</v>
      </c>
      <c r="N80" s="6">
        <v>8</v>
      </c>
      <c r="P80"/>
    </row>
    <row r="81" spans="1:16" x14ac:dyDescent="0.2">
      <c r="D81" s="39"/>
      <c r="E81" s="24"/>
      <c r="G81" s="26"/>
      <c r="L81" s="25"/>
      <c r="O81"/>
      <c r="P81"/>
    </row>
    <row r="82" spans="1:16" ht="13.5" customHeight="1" x14ac:dyDescent="0.2">
      <c r="D82" s="43" t="s">
        <v>115</v>
      </c>
      <c r="E82" s="24"/>
      <c r="G82" s="34"/>
      <c r="I82" s="34"/>
      <c r="J82" s="34"/>
      <c r="K82" s="34"/>
      <c r="L82" s="25"/>
      <c r="O82"/>
      <c r="P82"/>
    </row>
    <row r="83" spans="1:16" x14ac:dyDescent="0.2">
      <c r="A83">
        <v>303</v>
      </c>
      <c r="B83">
        <v>47110</v>
      </c>
      <c r="C83">
        <v>601</v>
      </c>
      <c r="D83" s="39"/>
      <c r="E83" s="42" t="s">
        <v>183</v>
      </c>
      <c r="G83" s="34">
        <v>71000</v>
      </c>
      <c r="I83" s="34">
        <v>71000</v>
      </c>
      <c r="J83" s="34"/>
      <c r="K83" s="34"/>
      <c r="L83" s="25">
        <f>SUM(I83:K83)</f>
        <v>71000</v>
      </c>
      <c r="M83" s="81">
        <v>2400</v>
      </c>
      <c r="N83" s="6" t="s">
        <v>163</v>
      </c>
      <c r="O83" s="3">
        <f>SUM(L83:L83)</f>
        <v>71000</v>
      </c>
      <c r="P83" t="s">
        <v>190</v>
      </c>
    </row>
    <row r="84" spans="1:16" x14ac:dyDescent="0.2">
      <c r="A84">
        <v>303</v>
      </c>
      <c r="B84">
        <v>47210</v>
      </c>
      <c r="C84">
        <v>611</v>
      </c>
      <c r="D84" s="39"/>
      <c r="E84" s="47" t="s">
        <v>184</v>
      </c>
      <c r="G84" s="34">
        <v>18170</v>
      </c>
      <c r="I84" s="34">
        <v>17460</v>
      </c>
      <c r="J84" s="34"/>
      <c r="K84" s="34"/>
      <c r="L84" s="25">
        <f>SUM(I84:K84)</f>
        <v>17460</v>
      </c>
      <c r="M84" s="81">
        <v>2400</v>
      </c>
      <c r="N84" s="6" t="s">
        <v>164</v>
      </c>
      <c r="O84" s="3">
        <f>SUM(L84:L85)</f>
        <v>17460</v>
      </c>
      <c r="P84" t="s">
        <v>191</v>
      </c>
    </row>
    <row r="85" spans="1:16" x14ac:dyDescent="0.2">
      <c r="A85">
        <v>601</v>
      </c>
      <c r="B85">
        <v>49440</v>
      </c>
      <c r="C85">
        <v>601</v>
      </c>
      <c r="D85" s="39"/>
      <c r="E85" s="42" t="s">
        <v>183</v>
      </c>
      <c r="G85" s="34">
        <v>0</v>
      </c>
      <c r="I85" s="34"/>
      <c r="J85" s="34"/>
      <c r="K85" s="34"/>
      <c r="L85" s="25">
        <f t="shared" ref="L85:L90" si="3">SUM(I85:K85)</f>
        <v>0</v>
      </c>
      <c r="N85" s="6" t="s">
        <v>163</v>
      </c>
      <c r="O85" s="3">
        <f>SUM(L85:L86)</f>
        <v>0</v>
      </c>
    </row>
    <row r="86" spans="1:16" x14ac:dyDescent="0.2">
      <c r="A86">
        <v>601</v>
      </c>
      <c r="B86">
        <v>49440</v>
      </c>
      <c r="C86">
        <v>602</v>
      </c>
      <c r="D86" s="39"/>
      <c r="E86" s="42" t="s">
        <v>182</v>
      </c>
      <c r="G86" s="34">
        <v>0</v>
      </c>
      <c r="I86" s="34"/>
      <c r="J86" s="34"/>
      <c r="K86" s="34"/>
      <c r="L86" s="25">
        <f t="shared" si="3"/>
        <v>0</v>
      </c>
      <c r="N86" s="6" t="s">
        <v>163</v>
      </c>
      <c r="P86"/>
    </row>
    <row r="87" spans="1:16" x14ac:dyDescent="0.2">
      <c r="A87">
        <v>601</v>
      </c>
      <c r="B87">
        <v>49440</v>
      </c>
      <c r="C87">
        <v>611</v>
      </c>
      <c r="D87" s="39"/>
      <c r="E87" s="47" t="s">
        <v>184</v>
      </c>
      <c r="G87" s="34">
        <v>0</v>
      </c>
      <c r="I87" s="34"/>
      <c r="J87" s="34"/>
      <c r="K87" s="34"/>
      <c r="L87" s="25">
        <f t="shared" si="3"/>
        <v>0</v>
      </c>
      <c r="N87" s="6" t="s">
        <v>164</v>
      </c>
      <c r="O87" s="3">
        <f>SUM(L87:L88)</f>
        <v>0</v>
      </c>
    </row>
    <row r="88" spans="1:16" x14ac:dyDescent="0.2">
      <c r="A88">
        <v>601</v>
      </c>
      <c r="B88">
        <v>49440</v>
      </c>
      <c r="C88">
        <v>612</v>
      </c>
      <c r="D88" s="39"/>
      <c r="E88" s="47" t="s">
        <v>185</v>
      </c>
      <c r="G88" s="34">
        <v>0</v>
      </c>
      <c r="I88" s="34"/>
      <c r="J88" s="34"/>
      <c r="K88" s="34"/>
      <c r="L88" s="25">
        <f t="shared" si="3"/>
        <v>0</v>
      </c>
      <c r="N88" s="6" t="s">
        <v>164</v>
      </c>
      <c r="P88"/>
    </row>
    <row r="89" spans="1:16" x14ac:dyDescent="0.2">
      <c r="A89">
        <v>601</v>
      </c>
      <c r="B89">
        <v>39364</v>
      </c>
      <c r="C89">
        <v>720</v>
      </c>
      <c r="D89" s="39"/>
      <c r="E89" s="47" t="s">
        <v>178</v>
      </c>
      <c r="G89" s="34">
        <v>0</v>
      </c>
      <c r="H89" s="4" t="s">
        <v>350</v>
      </c>
      <c r="I89" s="34">
        <v>60000</v>
      </c>
      <c r="J89" s="34">
        <v>-60000</v>
      </c>
      <c r="K89" s="34"/>
      <c r="L89" s="25">
        <f t="shared" si="3"/>
        <v>0</v>
      </c>
      <c r="N89" s="6" t="s">
        <v>10</v>
      </c>
      <c r="O89" s="3">
        <f>+L89</f>
        <v>0</v>
      </c>
      <c r="P89"/>
    </row>
    <row r="90" spans="1:16" x14ac:dyDescent="0.2">
      <c r="A90">
        <v>601</v>
      </c>
      <c r="B90">
        <v>49440</v>
      </c>
      <c r="C90">
        <v>800</v>
      </c>
      <c r="D90" s="39"/>
      <c r="E90" s="47" t="s">
        <v>103</v>
      </c>
      <c r="G90" s="34">
        <v>0</v>
      </c>
      <c r="I90" s="34"/>
      <c r="J90" s="34"/>
      <c r="K90" s="34"/>
      <c r="L90" s="25">
        <f t="shared" si="3"/>
        <v>0</v>
      </c>
      <c r="N90" s="6">
        <v>10</v>
      </c>
      <c r="O90" s="3">
        <f>SUM(L90:L90)</f>
        <v>0</v>
      </c>
    </row>
    <row r="91" spans="1:16" x14ac:dyDescent="0.2">
      <c r="D91" s="39"/>
      <c r="E91" s="46"/>
      <c r="G91" s="34"/>
      <c r="I91" s="34"/>
      <c r="J91" s="34"/>
      <c r="K91" s="34"/>
      <c r="L91" s="25"/>
    </row>
    <row r="92" spans="1:16" x14ac:dyDescent="0.2">
      <c r="D92" s="23"/>
      <c r="E92" s="24"/>
      <c r="G92" s="29">
        <f>SUM(G43:G91)</f>
        <v>144906.45000000001</v>
      </c>
      <c r="H92" s="29">
        <f>SUM(H91:H91)</f>
        <v>0</v>
      </c>
      <c r="I92" s="29">
        <f>SUM(I43:I91)</f>
        <v>209530.36</v>
      </c>
      <c r="J92" s="29">
        <f>SUM(J43:J91)</f>
        <v>-60000</v>
      </c>
      <c r="K92" s="29">
        <f>SUM(K43:K91)</f>
        <v>0</v>
      </c>
      <c r="L92" s="29">
        <f>SUM(L43:L91)</f>
        <v>149530.35999999999</v>
      </c>
      <c r="O92" s="30">
        <f>SUM(O45:O91)</f>
        <v>149530.35999999999</v>
      </c>
    </row>
    <row r="93" spans="1:16" x14ac:dyDescent="0.2">
      <c r="D93" s="23"/>
      <c r="G93" s="28"/>
      <c r="I93" s="28"/>
      <c r="J93" s="28"/>
      <c r="K93" s="28"/>
      <c r="L93" s="28"/>
    </row>
    <row r="94" spans="1:16" x14ac:dyDescent="0.2">
      <c r="E94" s="24" t="s">
        <v>20</v>
      </c>
      <c r="G94" s="29">
        <f>+G92+G39</f>
        <v>-44831.649999999994</v>
      </c>
      <c r="I94" s="29">
        <f>+I92+I39</f>
        <v>-41666.030000000028</v>
      </c>
      <c r="J94" s="29">
        <f>+J92+J82</f>
        <v>-60000</v>
      </c>
      <c r="K94" s="29">
        <f>+K92+K82</f>
        <v>0</v>
      </c>
      <c r="L94" s="29">
        <f>+L92+L39</f>
        <v>-41666.030000000028</v>
      </c>
    </row>
    <row r="95" spans="1:16" x14ac:dyDescent="0.2">
      <c r="E95" s="24"/>
      <c r="G95" s="35"/>
      <c r="I95" s="35"/>
      <c r="J95" s="35"/>
      <c r="K95" s="35"/>
      <c r="L95" s="35"/>
    </row>
    <row r="96" spans="1:16" x14ac:dyDescent="0.2">
      <c r="E96" s="24"/>
      <c r="G96" s="26"/>
      <c r="I96" s="26"/>
      <c r="J96" s="26"/>
      <c r="K96" s="67" t="s">
        <v>21</v>
      </c>
      <c r="L96" s="36">
        <f>+L94+L17</f>
        <v>0</v>
      </c>
    </row>
    <row r="97" spans="7:12" x14ac:dyDescent="0.2">
      <c r="G97" s="34"/>
      <c r="I97" s="34"/>
      <c r="J97" s="34"/>
      <c r="K97" s="34"/>
      <c r="L97" s="22"/>
    </row>
  </sheetData>
  <sortState xmlns:xlrd2="http://schemas.microsoft.com/office/spreadsheetml/2017/richdata2" ref="A53:P78">
    <sortCondition ref="C53:C78"/>
    <sortCondition ref="B53:B78"/>
  </sortState>
  <mergeCells count="3">
    <mergeCell ref="A2:B2"/>
    <mergeCell ref="A6:C6"/>
    <mergeCell ref="J6:K6"/>
  </mergeCells>
  <printOptions gridLines="1"/>
  <pageMargins left="0.7" right="0.7" top="0.75" bottom="0.75" header="0.3" footer="0.3"/>
  <pageSetup scale="59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R86"/>
  <sheetViews>
    <sheetView zoomScaleNormal="100" workbookViewId="0">
      <pane xSplit="6" ySplit="6" topLeftCell="G7" activePane="bottomRight" state="frozen"/>
      <selection activeCell="S147" activeCellId="1" sqref="S158 S147"/>
      <selection pane="topRight" activeCell="S147" activeCellId="1" sqref="S158 S147"/>
      <selection pane="bottomLeft" activeCell="S147" activeCellId="1" sqref="S158 S147"/>
      <selection pane="bottomRight" activeCell="S147" activeCellId="1" sqref="S158 S147"/>
    </sheetView>
  </sheetViews>
  <sheetFormatPr defaultColWidth="9.28515625" defaultRowHeight="12.75" x14ac:dyDescent="0.2"/>
  <cols>
    <col min="1" max="1" width="4.140625" customWidth="1"/>
    <col min="2" max="2" width="6" bestFit="1" customWidth="1"/>
    <col min="3" max="3" width="4" bestFit="1" customWidth="1"/>
    <col min="4" max="4" width="3.42578125" customWidth="1"/>
    <col min="5" max="5" width="15.42578125" customWidth="1"/>
    <col min="6" max="6" width="18.85546875" customWidth="1"/>
    <col min="7" max="7" width="13.28515625" style="3" customWidth="1"/>
    <col min="8" max="8" width="6.28515625" style="4" customWidth="1"/>
    <col min="9" max="9" width="12.85546875" style="3" bestFit="1" customWidth="1"/>
    <col min="10" max="10" width="11.85546875" style="3" bestFit="1" customWidth="1"/>
    <col min="11" max="11" width="11" style="3" customWidth="1"/>
    <col min="12" max="12" width="12.42578125" style="3" bestFit="1" customWidth="1"/>
    <col min="13" max="13" width="5" style="6" bestFit="1" customWidth="1"/>
    <col min="14" max="14" width="3.42578125" style="6" customWidth="1"/>
    <col min="15" max="15" width="12.42578125" style="3" bestFit="1" customWidth="1"/>
    <col min="16" max="16" width="17.85546875" style="6" bestFit="1" customWidth="1"/>
  </cols>
  <sheetData>
    <row r="1" spans="1:16" x14ac:dyDescent="0.2">
      <c r="A1" s="1"/>
      <c r="G1" s="2" t="s">
        <v>194</v>
      </c>
      <c r="K1" s="5" t="s">
        <v>0</v>
      </c>
      <c r="L1" s="64" t="s">
        <v>137</v>
      </c>
    </row>
    <row r="2" spans="1:16" x14ac:dyDescent="0.2">
      <c r="A2" s="88"/>
      <c r="B2" s="88"/>
      <c r="G2" s="9" t="s">
        <v>1</v>
      </c>
    </row>
    <row r="3" spans="1:16" x14ac:dyDescent="0.2">
      <c r="A3" s="89"/>
      <c r="B3" s="89"/>
      <c r="D3" s="8"/>
      <c r="G3" s="9" t="s">
        <v>119</v>
      </c>
    </row>
    <row r="4" spans="1:16" x14ac:dyDescent="0.2">
      <c r="D4" s="10"/>
      <c r="G4" s="11">
        <f>+'Water-Prop'!G4</f>
        <v>45657</v>
      </c>
    </row>
    <row r="5" spans="1:16" ht="15" x14ac:dyDescent="0.2">
      <c r="K5" s="65" t="s">
        <v>21</v>
      </c>
      <c r="L5" s="40">
        <f>+L85</f>
        <v>0</v>
      </c>
      <c r="N5" s="12"/>
      <c r="O5" s="74" t="s">
        <v>2</v>
      </c>
      <c r="P5" s="58"/>
    </row>
    <row r="6" spans="1:16" x14ac:dyDescent="0.2">
      <c r="A6" s="90" t="s">
        <v>108</v>
      </c>
      <c r="B6" s="90"/>
      <c r="C6" s="90"/>
      <c r="D6" s="14"/>
      <c r="E6" s="15" t="s">
        <v>4</v>
      </c>
      <c r="F6" s="16"/>
      <c r="G6" s="17">
        <f>EDATE(+G4,-12)</f>
        <v>45291</v>
      </c>
      <c r="H6" s="18" t="s">
        <v>5</v>
      </c>
      <c r="I6" s="75" t="s">
        <v>109</v>
      </c>
      <c r="J6" s="91" t="s">
        <v>110</v>
      </c>
      <c r="K6" s="91"/>
      <c r="L6" s="17">
        <f>+G4</f>
        <v>45657</v>
      </c>
      <c r="M6" s="18" t="s">
        <v>24</v>
      </c>
      <c r="N6" s="16" t="s">
        <v>6</v>
      </c>
      <c r="O6" s="19" t="s">
        <v>7</v>
      </c>
      <c r="P6" s="16" t="s">
        <v>4</v>
      </c>
    </row>
    <row r="7" spans="1:16" x14ac:dyDescent="0.2">
      <c r="D7" s="24" t="s">
        <v>170</v>
      </c>
      <c r="G7" s="25"/>
      <c r="L7" s="25"/>
    </row>
    <row r="8" spans="1:16" x14ac:dyDescent="0.2">
      <c r="A8">
        <v>602</v>
      </c>
      <c r="E8" s="53" t="s">
        <v>169</v>
      </c>
      <c r="G8" s="26">
        <v>345159.54</v>
      </c>
      <c r="I8" s="26">
        <f>89629.31-62585.57</f>
        <v>27043.739999999998</v>
      </c>
      <c r="J8" s="26"/>
      <c r="K8" s="26"/>
      <c r="L8" s="25">
        <f>SUM(G8:K8)</f>
        <v>372203.27999999997</v>
      </c>
      <c r="M8" s="82" t="s">
        <v>384</v>
      </c>
      <c r="O8" s="3">
        <f>SUM(L8:L10)</f>
        <v>372203.27999999997</v>
      </c>
    </row>
    <row r="9" spans="1:16" x14ac:dyDescent="0.2">
      <c r="D9" s="24"/>
      <c r="G9" s="26"/>
      <c r="I9" s="26"/>
      <c r="J9" s="26"/>
      <c r="K9" s="26"/>
      <c r="L9" s="25"/>
    </row>
    <row r="10" spans="1:16" x14ac:dyDescent="0.2">
      <c r="D10" s="27"/>
      <c r="L10" s="25"/>
      <c r="P10"/>
    </row>
    <row r="11" spans="1:16" x14ac:dyDescent="0.2">
      <c r="D11" s="24" t="s">
        <v>140</v>
      </c>
      <c r="L11" s="25"/>
      <c r="P11"/>
    </row>
    <row r="12" spans="1:16" x14ac:dyDescent="0.2">
      <c r="D12" s="27"/>
      <c r="E12" s="42" t="s">
        <v>141</v>
      </c>
      <c r="G12" s="3">
        <v>0</v>
      </c>
      <c r="L12" s="25">
        <f>SUM(G12:K12)</f>
        <v>0</v>
      </c>
      <c r="N12" s="6" t="s">
        <v>8</v>
      </c>
      <c r="O12" s="3">
        <f>+L12+L14-L16+L13</f>
        <v>-372203.27999999997</v>
      </c>
      <c r="P12"/>
    </row>
    <row r="13" spans="1:16" x14ac:dyDescent="0.2">
      <c r="D13" s="27"/>
      <c r="E13" s="42" t="s">
        <v>70</v>
      </c>
      <c r="G13" s="3">
        <v>0</v>
      </c>
      <c r="L13" s="25">
        <f>SUM(G13:K13)</f>
        <v>0</v>
      </c>
      <c r="N13" s="6" t="s">
        <v>8</v>
      </c>
      <c r="P13"/>
    </row>
    <row r="14" spans="1:16" x14ac:dyDescent="0.2">
      <c r="D14" s="23"/>
      <c r="E14" s="42" t="s">
        <v>134</v>
      </c>
      <c r="G14" s="26">
        <v>-345159.54</v>
      </c>
      <c r="I14" s="26"/>
      <c r="J14" s="26"/>
      <c r="K14" s="26"/>
      <c r="L14" s="25">
        <f>SUM(G14:K14)</f>
        <v>-345159.54</v>
      </c>
      <c r="N14" s="6" t="s">
        <v>8</v>
      </c>
      <c r="P14"/>
    </row>
    <row r="15" spans="1:16" x14ac:dyDescent="0.2">
      <c r="G15" s="28"/>
      <c r="I15" s="28"/>
      <c r="J15" s="28"/>
      <c r="K15" s="28"/>
      <c r="L15" s="25"/>
      <c r="P15"/>
    </row>
    <row r="16" spans="1:16" x14ac:dyDescent="0.2">
      <c r="E16" s="24" t="s">
        <v>9</v>
      </c>
      <c r="G16" s="29">
        <f>SUM(G7:G15)</f>
        <v>0</v>
      </c>
      <c r="I16" s="29">
        <f>SUM(I7:I15)</f>
        <v>27043.739999999998</v>
      </c>
      <c r="J16" s="29">
        <f>SUM(J7:J15)</f>
        <v>0</v>
      </c>
      <c r="K16" s="29">
        <f>SUM(K7:K15)</f>
        <v>0</v>
      </c>
      <c r="L16" s="29">
        <f>SUM(H16:K16)</f>
        <v>27043.739999999998</v>
      </c>
      <c r="N16" s="6" t="s">
        <v>8</v>
      </c>
      <c r="O16" s="30">
        <f>SUM(O7:O15)</f>
        <v>0</v>
      </c>
    </row>
    <row r="17" spans="1:18" x14ac:dyDescent="0.2">
      <c r="G17" s="22"/>
      <c r="I17" s="22"/>
      <c r="J17" s="22"/>
      <c r="K17" s="22"/>
      <c r="L17" s="22"/>
    </row>
    <row r="18" spans="1:18" x14ac:dyDescent="0.2">
      <c r="D18" s="1" t="s">
        <v>69</v>
      </c>
      <c r="E18" s="24"/>
      <c r="G18" s="26"/>
      <c r="L18" s="25"/>
    </row>
    <row r="19" spans="1:18" x14ac:dyDescent="0.2">
      <c r="D19" s="1"/>
      <c r="E19" s="24"/>
      <c r="G19" s="26"/>
      <c r="L19" s="25"/>
    </row>
    <row r="20" spans="1:18" x14ac:dyDescent="0.2">
      <c r="D20" s="39" t="s">
        <v>71</v>
      </c>
      <c r="E20" s="42"/>
      <c r="G20" s="26"/>
      <c r="L20" s="25"/>
      <c r="O20"/>
      <c r="P20"/>
    </row>
    <row r="21" spans="1:18" x14ac:dyDescent="0.2">
      <c r="D21" s="43" t="s">
        <v>120</v>
      </c>
      <c r="E21" s="42"/>
      <c r="G21" s="26"/>
      <c r="L21" s="25"/>
      <c r="M21" s="81"/>
      <c r="O21"/>
      <c r="P21"/>
    </row>
    <row r="22" spans="1:18" x14ac:dyDescent="0.2">
      <c r="A22">
        <v>602</v>
      </c>
      <c r="B22">
        <v>32154</v>
      </c>
      <c r="D22" s="43"/>
      <c r="E22" s="42" t="s">
        <v>334</v>
      </c>
      <c r="G22" s="26"/>
      <c r="I22" s="3">
        <v>-2000</v>
      </c>
      <c r="L22" s="25">
        <f t="shared" ref="L22:L34" si="0">SUM(I22:K22)</f>
        <v>-2000</v>
      </c>
      <c r="M22" s="81">
        <v>4003</v>
      </c>
      <c r="O22"/>
      <c r="P22"/>
    </row>
    <row r="23" spans="1:18" x14ac:dyDescent="0.2">
      <c r="A23">
        <v>602</v>
      </c>
      <c r="B23">
        <v>37210</v>
      </c>
      <c r="D23" s="23"/>
      <c r="E23" s="42" t="s">
        <v>121</v>
      </c>
      <c r="G23" s="26">
        <v>-76505.179999999993</v>
      </c>
      <c r="I23" s="26">
        <v>-84912.43</v>
      </c>
      <c r="J23" s="26"/>
      <c r="K23" s="26"/>
      <c r="L23" s="25">
        <f t="shared" si="0"/>
        <v>-84912.43</v>
      </c>
      <c r="M23" s="81">
        <v>4002</v>
      </c>
      <c r="N23" s="6" t="s">
        <v>14</v>
      </c>
      <c r="O23" s="3">
        <f>SUM(L22:L26,L28)</f>
        <v>-87229.31</v>
      </c>
      <c r="P23"/>
    </row>
    <row r="24" spans="1:18" x14ac:dyDescent="0.2">
      <c r="A24">
        <v>602</v>
      </c>
      <c r="B24">
        <v>37235</v>
      </c>
      <c r="D24" s="23"/>
      <c r="E24" s="42" t="s">
        <v>117</v>
      </c>
      <c r="G24" s="26">
        <v>0</v>
      </c>
      <c r="I24" s="26"/>
      <c r="J24" s="26"/>
      <c r="K24" s="26"/>
      <c r="L24" s="25">
        <f t="shared" si="0"/>
        <v>0</v>
      </c>
      <c r="M24" s="81"/>
      <c r="N24" s="6" t="s">
        <v>14</v>
      </c>
      <c r="P24"/>
    </row>
    <row r="25" spans="1:18" x14ac:dyDescent="0.2">
      <c r="A25">
        <v>602</v>
      </c>
      <c r="B25">
        <v>37260</v>
      </c>
      <c r="D25" s="23"/>
      <c r="E25" s="42" t="s">
        <v>122</v>
      </c>
      <c r="G25" s="26">
        <v>0</v>
      </c>
      <c r="I25" s="26"/>
      <c r="J25" s="26"/>
      <c r="K25" s="26"/>
      <c r="L25" s="25">
        <f t="shared" si="0"/>
        <v>0</v>
      </c>
      <c r="M25" s="81"/>
      <c r="N25" s="6" t="s">
        <v>14</v>
      </c>
      <c r="P25"/>
    </row>
    <row r="26" spans="1:18" x14ac:dyDescent="0.2">
      <c r="A26">
        <v>602</v>
      </c>
      <c r="B26">
        <v>37270</v>
      </c>
      <c r="D26" s="23"/>
      <c r="E26" s="42" t="s">
        <v>280</v>
      </c>
      <c r="G26" s="26">
        <v>-1991.36</v>
      </c>
      <c r="I26" s="26">
        <v>-316.88</v>
      </c>
      <c r="J26" s="26"/>
      <c r="K26" s="26"/>
      <c r="L26" s="25">
        <f t="shared" si="0"/>
        <v>-316.88</v>
      </c>
      <c r="M26" s="81">
        <v>4001</v>
      </c>
      <c r="N26" s="6" t="s">
        <v>14</v>
      </c>
      <c r="P26"/>
      <c r="R26" s="71">
        <f>SUMIF(C21:C175,122,L21:L175)</f>
        <v>1332.21</v>
      </c>
    </row>
    <row r="27" spans="1:18" x14ac:dyDescent="0.2">
      <c r="A27">
        <v>602</v>
      </c>
      <c r="B27">
        <v>38090</v>
      </c>
      <c r="D27" s="23"/>
      <c r="E27" s="42" t="s">
        <v>281</v>
      </c>
      <c r="G27" s="26">
        <v>-2200</v>
      </c>
      <c r="I27" s="26">
        <v>-2400</v>
      </c>
      <c r="J27" s="26"/>
      <c r="K27" s="26"/>
      <c r="L27" s="25">
        <f t="shared" si="0"/>
        <v>-2400</v>
      </c>
      <c r="M27" s="81">
        <v>4003</v>
      </c>
      <c r="N27" s="6" t="s">
        <v>17</v>
      </c>
      <c r="O27" s="3">
        <f>+L27</f>
        <v>-2400</v>
      </c>
      <c r="P27"/>
      <c r="R27" s="71">
        <f>SUMIF(C23:C176,135,L23:L176)</f>
        <v>311.35000000000002</v>
      </c>
    </row>
    <row r="28" spans="1:18" x14ac:dyDescent="0.2">
      <c r="A28">
        <v>602</v>
      </c>
      <c r="B28">
        <v>37295</v>
      </c>
      <c r="D28" s="23"/>
      <c r="E28" s="42" t="s">
        <v>118</v>
      </c>
      <c r="G28" s="26">
        <v>0</v>
      </c>
      <c r="I28" s="26"/>
      <c r="J28" s="26"/>
      <c r="K28" s="26"/>
      <c r="L28" s="25">
        <f t="shared" si="0"/>
        <v>0</v>
      </c>
      <c r="M28" s="81"/>
      <c r="N28" s="6" t="s">
        <v>14</v>
      </c>
      <c r="O28"/>
      <c r="P28"/>
      <c r="R28" s="71">
        <f>SUMIF(C24:C177,121,L24:L177)</f>
        <v>1864.66</v>
      </c>
    </row>
    <row r="29" spans="1:18" x14ac:dyDescent="0.2">
      <c r="D29" s="23"/>
      <c r="E29" s="42"/>
      <c r="G29" s="26"/>
      <c r="I29" s="26"/>
      <c r="J29" s="26"/>
      <c r="K29" s="26"/>
      <c r="L29" s="25"/>
      <c r="O29"/>
      <c r="P29"/>
    </row>
    <row r="30" spans="1:18" x14ac:dyDescent="0.2">
      <c r="D30" s="39" t="s">
        <v>46</v>
      </c>
      <c r="E30" s="42"/>
      <c r="G30" s="26"/>
      <c r="I30" s="26"/>
      <c r="J30" s="26"/>
      <c r="K30" s="26"/>
      <c r="L30" s="25"/>
      <c r="O30"/>
      <c r="P30"/>
    </row>
    <row r="31" spans="1:18" x14ac:dyDescent="0.2">
      <c r="A31">
        <v>602</v>
      </c>
      <c r="B31">
        <v>32151</v>
      </c>
      <c r="D31" s="39"/>
      <c r="E31" s="42" t="s">
        <v>279</v>
      </c>
      <c r="G31" s="26"/>
      <c r="I31" s="26">
        <v>0</v>
      </c>
      <c r="J31" s="26"/>
      <c r="K31" s="26"/>
      <c r="L31" s="25"/>
      <c r="O31"/>
      <c r="P31"/>
    </row>
    <row r="32" spans="1:18" x14ac:dyDescent="0.2">
      <c r="A32">
        <v>406</v>
      </c>
      <c r="B32">
        <v>36210</v>
      </c>
      <c r="D32" s="39"/>
      <c r="E32" s="42" t="s">
        <v>112</v>
      </c>
      <c r="G32" s="26">
        <v>0</v>
      </c>
      <c r="I32" s="26"/>
      <c r="J32" s="26"/>
      <c r="K32" s="26"/>
      <c r="L32" s="25">
        <f t="shared" si="0"/>
        <v>0</v>
      </c>
      <c r="N32" s="6" t="s">
        <v>15</v>
      </c>
      <c r="O32" s="3">
        <f>SUM(L32:L33)</f>
        <v>0</v>
      </c>
      <c r="P32"/>
    </row>
    <row r="33" spans="1:16" x14ac:dyDescent="0.2">
      <c r="A33">
        <v>602</v>
      </c>
      <c r="B33">
        <v>36210</v>
      </c>
      <c r="D33" s="23"/>
      <c r="E33" s="42" t="s">
        <v>112</v>
      </c>
      <c r="G33" s="26">
        <v>0</v>
      </c>
      <c r="I33" s="26"/>
      <c r="J33" s="26"/>
      <c r="K33" s="26"/>
      <c r="L33" s="25">
        <f t="shared" si="0"/>
        <v>0</v>
      </c>
      <c r="N33" s="6" t="s">
        <v>15</v>
      </c>
      <c r="P33"/>
    </row>
    <row r="34" spans="1:16" x14ac:dyDescent="0.2">
      <c r="A34">
        <v>602</v>
      </c>
      <c r="B34">
        <v>36270</v>
      </c>
      <c r="D34" s="23"/>
      <c r="E34" s="42" t="s">
        <v>95</v>
      </c>
      <c r="G34" s="26">
        <v>0</v>
      </c>
      <c r="I34" s="26"/>
      <c r="J34" s="26"/>
      <c r="K34" s="26"/>
      <c r="L34" s="25">
        <f t="shared" si="0"/>
        <v>0</v>
      </c>
      <c r="N34" s="6" t="s">
        <v>16</v>
      </c>
      <c r="O34" s="3">
        <f>+L34</f>
        <v>0</v>
      </c>
      <c r="P34"/>
    </row>
    <row r="35" spans="1:16" x14ac:dyDescent="0.2">
      <c r="D35" s="23"/>
      <c r="E35" s="42"/>
      <c r="G35" s="26"/>
      <c r="I35" s="26"/>
      <c r="K35" s="26"/>
      <c r="L35" s="25"/>
      <c r="O35"/>
      <c r="P35"/>
    </row>
    <row r="36" spans="1:16" x14ac:dyDescent="0.2">
      <c r="D36" s="39" t="s">
        <v>66</v>
      </c>
      <c r="E36" s="42"/>
      <c r="G36" s="26"/>
      <c r="I36" s="26"/>
      <c r="K36" s="26"/>
      <c r="L36" s="25"/>
      <c r="O36"/>
      <c r="P36"/>
    </row>
    <row r="37" spans="1:16" x14ac:dyDescent="0.2">
      <c r="A37">
        <v>406</v>
      </c>
      <c r="B37">
        <v>39202</v>
      </c>
      <c r="D37" s="23"/>
      <c r="E37" s="42" t="s">
        <v>145</v>
      </c>
      <c r="G37" s="26">
        <v>0</v>
      </c>
      <c r="I37" s="26"/>
      <c r="K37" s="26"/>
      <c r="L37" s="25">
        <f>SUM(I37:K37)</f>
        <v>0</v>
      </c>
      <c r="N37" s="6" t="s">
        <v>10</v>
      </c>
      <c r="O37" s="3">
        <f>+L37</f>
        <v>0</v>
      </c>
      <c r="P37"/>
    </row>
    <row r="38" spans="1:16" x14ac:dyDescent="0.2">
      <c r="A38">
        <v>406</v>
      </c>
      <c r="B38">
        <v>39990</v>
      </c>
      <c r="D38" s="23"/>
      <c r="E38" s="42" t="s">
        <v>80</v>
      </c>
      <c r="G38" s="26">
        <v>0</v>
      </c>
      <c r="I38" s="26"/>
      <c r="K38" s="26"/>
      <c r="L38" s="25">
        <f>SUM(I38:K38)</f>
        <v>0</v>
      </c>
      <c r="N38" s="6" t="s">
        <v>153</v>
      </c>
      <c r="O38" s="3">
        <f>+L38</f>
        <v>0</v>
      </c>
      <c r="P38"/>
    </row>
    <row r="39" spans="1:16" x14ac:dyDescent="0.2">
      <c r="A39">
        <v>602</v>
      </c>
      <c r="B39">
        <v>39990</v>
      </c>
      <c r="D39" s="23"/>
      <c r="E39" s="42" t="s">
        <v>80</v>
      </c>
      <c r="G39" s="26">
        <v>0</v>
      </c>
      <c r="I39" s="26"/>
      <c r="K39" s="26"/>
      <c r="L39" s="25">
        <f>SUM(I39:K39)</f>
        <v>0</v>
      </c>
      <c r="N39" s="6" t="s">
        <v>162</v>
      </c>
      <c r="O39" s="3">
        <f>+L39</f>
        <v>0</v>
      </c>
      <c r="P39"/>
    </row>
    <row r="40" spans="1:16" x14ac:dyDescent="0.2">
      <c r="D40" s="23"/>
      <c r="E40" s="42"/>
      <c r="G40" s="26"/>
      <c r="L40" s="25"/>
    </row>
    <row r="41" spans="1:16" x14ac:dyDescent="0.2">
      <c r="D41" s="23"/>
      <c r="E41" s="24"/>
      <c r="G41" s="29">
        <f>SUM(G20:G40)</f>
        <v>-80696.539999999994</v>
      </c>
      <c r="I41" s="29">
        <f>SUM(I20:I40)</f>
        <v>-89629.31</v>
      </c>
      <c r="J41" s="29">
        <f>SUM(J20:J40)</f>
        <v>0</v>
      </c>
      <c r="K41" s="29">
        <f>SUM(K20:K40)</f>
        <v>0</v>
      </c>
      <c r="L41" s="29">
        <f>SUM(L20:L40)</f>
        <v>-89629.31</v>
      </c>
      <c r="O41" s="30">
        <f>SUM(O21:O40)</f>
        <v>-89629.31</v>
      </c>
    </row>
    <row r="42" spans="1:16" x14ac:dyDescent="0.2">
      <c r="D42" s="23"/>
      <c r="E42" s="24"/>
      <c r="G42" s="26"/>
      <c r="L42" s="25"/>
    </row>
    <row r="43" spans="1:16" x14ac:dyDescent="0.2">
      <c r="D43" s="1" t="s">
        <v>13</v>
      </c>
      <c r="E43" s="24"/>
      <c r="G43" s="26"/>
      <c r="L43" s="25"/>
    </row>
    <row r="44" spans="1:16" ht="12.75" customHeight="1" x14ac:dyDescent="0.2">
      <c r="P44">
        <f>SUMIF(C47:C226,"121",L47:L226)</f>
        <v>1864.66</v>
      </c>
    </row>
    <row r="45" spans="1:16" x14ac:dyDescent="0.2">
      <c r="D45" s="39" t="s">
        <v>73</v>
      </c>
      <c r="E45" s="24"/>
      <c r="G45" s="26"/>
      <c r="L45" s="25"/>
      <c r="O45"/>
      <c r="P45"/>
    </row>
    <row r="46" spans="1:16" x14ac:dyDescent="0.2">
      <c r="D46" s="43" t="s">
        <v>123</v>
      </c>
      <c r="E46" s="24"/>
      <c r="G46" s="26"/>
      <c r="L46" s="25"/>
      <c r="O46"/>
      <c r="P46"/>
    </row>
    <row r="47" spans="1:16" x14ac:dyDescent="0.2">
      <c r="A47">
        <v>602</v>
      </c>
      <c r="B47">
        <v>49490</v>
      </c>
      <c r="C47">
        <v>101</v>
      </c>
      <c r="D47" s="43"/>
      <c r="E47" s="42" t="s">
        <v>89</v>
      </c>
      <c r="G47" s="26">
        <v>12574.06</v>
      </c>
      <c r="I47" s="3">
        <v>14717.97</v>
      </c>
      <c r="L47" s="25">
        <f t="shared" ref="L47:L78" si="1">SUM(I47:K47)</f>
        <v>14717.97</v>
      </c>
      <c r="N47" s="6">
        <v>1</v>
      </c>
      <c r="O47" s="3">
        <f>SUM(L47:L59,L72)</f>
        <v>30581.119999999995</v>
      </c>
      <c r="P47" t="s">
        <v>75</v>
      </c>
    </row>
    <row r="48" spans="1:16" x14ac:dyDescent="0.2">
      <c r="A48">
        <v>602</v>
      </c>
      <c r="B48">
        <v>49490</v>
      </c>
      <c r="C48">
        <v>103</v>
      </c>
      <c r="D48" s="43"/>
      <c r="E48" s="42" t="s">
        <v>343</v>
      </c>
      <c r="G48" s="26">
        <v>0</v>
      </c>
      <c r="I48" s="3">
        <v>4987.6899999999996</v>
      </c>
      <c r="L48" s="25">
        <f t="shared" si="1"/>
        <v>4987.6899999999996</v>
      </c>
      <c r="N48" s="6">
        <v>1</v>
      </c>
      <c r="P48"/>
    </row>
    <row r="49" spans="1:16" x14ac:dyDescent="0.2">
      <c r="A49">
        <v>602</v>
      </c>
      <c r="B49">
        <v>49490</v>
      </c>
      <c r="C49">
        <v>106</v>
      </c>
      <c r="D49" s="43"/>
      <c r="E49" s="42" t="s">
        <v>98</v>
      </c>
      <c r="G49" s="26">
        <v>1295.8399999999999</v>
      </c>
      <c r="I49" s="3">
        <v>1348.18</v>
      </c>
      <c r="L49" s="25">
        <f t="shared" si="1"/>
        <v>1348.18</v>
      </c>
      <c r="N49" s="6">
        <v>1</v>
      </c>
      <c r="O49"/>
      <c r="P49"/>
    </row>
    <row r="50" spans="1:16" x14ac:dyDescent="0.2">
      <c r="A50">
        <v>602</v>
      </c>
      <c r="B50">
        <v>49490</v>
      </c>
      <c r="C50">
        <v>107</v>
      </c>
      <c r="D50" s="43"/>
      <c r="E50" s="42" t="s">
        <v>283</v>
      </c>
      <c r="G50" s="26">
        <v>1159.5899999999999</v>
      </c>
      <c r="I50" s="3">
        <v>1496.08</v>
      </c>
      <c r="L50" s="25">
        <f t="shared" si="1"/>
        <v>1496.08</v>
      </c>
      <c r="N50" s="6">
        <v>1</v>
      </c>
      <c r="O50"/>
      <c r="P50"/>
    </row>
    <row r="51" spans="1:16" x14ac:dyDescent="0.2">
      <c r="A51">
        <v>602</v>
      </c>
      <c r="B51">
        <v>49490</v>
      </c>
      <c r="C51">
        <v>108</v>
      </c>
      <c r="D51" s="43"/>
      <c r="E51" s="42" t="s">
        <v>215</v>
      </c>
      <c r="G51" s="26">
        <v>253.05</v>
      </c>
      <c r="I51" s="3">
        <v>311.33</v>
      </c>
      <c r="L51" s="25">
        <f t="shared" si="1"/>
        <v>311.33</v>
      </c>
      <c r="N51" s="6">
        <v>1</v>
      </c>
      <c r="O51"/>
      <c r="P51"/>
    </row>
    <row r="52" spans="1:16" x14ac:dyDescent="0.2">
      <c r="A52">
        <v>602</v>
      </c>
      <c r="B52">
        <v>49490</v>
      </c>
      <c r="C52">
        <v>112</v>
      </c>
      <c r="D52" s="43"/>
      <c r="E52" s="42" t="s">
        <v>244</v>
      </c>
      <c r="G52" s="26">
        <v>195</v>
      </c>
      <c r="I52" s="3">
        <v>392.18</v>
      </c>
      <c r="L52" s="25">
        <f t="shared" si="1"/>
        <v>392.18</v>
      </c>
      <c r="N52" s="6">
        <v>1</v>
      </c>
      <c r="O52"/>
      <c r="P52"/>
    </row>
    <row r="53" spans="1:16" x14ac:dyDescent="0.2">
      <c r="A53">
        <v>602</v>
      </c>
      <c r="B53">
        <v>49490</v>
      </c>
      <c r="C53">
        <v>113</v>
      </c>
      <c r="D53" s="43"/>
      <c r="E53" s="42" t="s">
        <v>271</v>
      </c>
      <c r="G53" s="26">
        <v>1082.04</v>
      </c>
      <c r="I53" s="3">
        <v>1338.71</v>
      </c>
      <c r="L53" s="25">
        <f t="shared" si="1"/>
        <v>1338.71</v>
      </c>
      <c r="N53" s="6">
        <v>1</v>
      </c>
      <c r="O53"/>
      <c r="P53"/>
    </row>
    <row r="54" spans="1:16" x14ac:dyDescent="0.2">
      <c r="A54">
        <v>602</v>
      </c>
      <c r="B54">
        <v>49490</v>
      </c>
      <c r="C54">
        <v>114</v>
      </c>
      <c r="D54" s="43"/>
      <c r="E54" s="42" t="s">
        <v>245</v>
      </c>
      <c r="G54" s="26">
        <v>847.25</v>
      </c>
      <c r="I54" s="3">
        <v>384.3</v>
      </c>
      <c r="L54" s="25">
        <f t="shared" si="1"/>
        <v>384.3</v>
      </c>
      <c r="N54" s="6">
        <v>1</v>
      </c>
      <c r="O54"/>
      <c r="P54"/>
    </row>
    <row r="55" spans="1:16" x14ac:dyDescent="0.2">
      <c r="A55">
        <v>602</v>
      </c>
      <c r="B55">
        <v>49490</v>
      </c>
      <c r="C55">
        <v>121</v>
      </c>
      <c r="D55" s="43"/>
      <c r="E55" s="42" t="s">
        <v>282</v>
      </c>
      <c r="G55" s="26">
        <v>1356.11</v>
      </c>
      <c r="I55" s="3">
        <v>1864.66</v>
      </c>
      <c r="L55" s="25">
        <f t="shared" si="1"/>
        <v>1864.66</v>
      </c>
      <c r="N55" s="6">
        <v>1</v>
      </c>
      <c r="O55"/>
      <c r="P55"/>
    </row>
    <row r="56" spans="1:16" x14ac:dyDescent="0.2">
      <c r="A56">
        <v>602</v>
      </c>
      <c r="B56">
        <v>49490</v>
      </c>
      <c r="C56">
        <v>122</v>
      </c>
      <c r="D56" s="43"/>
      <c r="E56" s="42" t="s">
        <v>100</v>
      </c>
      <c r="G56" s="26">
        <v>1082.01</v>
      </c>
      <c r="I56" s="3">
        <v>1332.21</v>
      </c>
      <c r="L56" s="25">
        <f t="shared" si="1"/>
        <v>1332.21</v>
      </c>
      <c r="N56" s="6">
        <v>1</v>
      </c>
    </row>
    <row r="57" spans="1:16" x14ac:dyDescent="0.2">
      <c r="A57">
        <v>602</v>
      </c>
      <c r="B57">
        <v>49490</v>
      </c>
      <c r="C57">
        <v>135</v>
      </c>
      <c r="D57" s="39"/>
      <c r="E57" s="42" t="s">
        <v>101</v>
      </c>
      <c r="G57" s="26">
        <v>253.04</v>
      </c>
      <c r="I57" s="3">
        <v>311.35000000000002</v>
      </c>
      <c r="L57" s="25">
        <f t="shared" si="1"/>
        <v>311.35000000000002</v>
      </c>
      <c r="N57" s="6">
        <v>1</v>
      </c>
      <c r="O57"/>
      <c r="P57"/>
    </row>
    <row r="58" spans="1:16" x14ac:dyDescent="0.2">
      <c r="A58">
        <v>602</v>
      </c>
      <c r="B58">
        <v>49490</v>
      </c>
      <c r="C58">
        <v>136</v>
      </c>
      <c r="D58" s="39"/>
      <c r="E58" s="42" t="s">
        <v>248</v>
      </c>
      <c r="G58" s="26">
        <v>1100</v>
      </c>
      <c r="I58" s="3">
        <v>700</v>
      </c>
      <c r="L58" s="25">
        <f t="shared" si="1"/>
        <v>700</v>
      </c>
      <c r="N58" s="6">
        <v>1</v>
      </c>
    </row>
    <row r="59" spans="1:16" x14ac:dyDescent="0.2">
      <c r="A59">
        <v>602</v>
      </c>
      <c r="B59">
        <v>49490</v>
      </c>
      <c r="C59">
        <v>172</v>
      </c>
      <c r="D59" s="39"/>
      <c r="E59" s="42" t="s">
        <v>284</v>
      </c>
      <c r="G59" s="26">
        <v>828.55</v>
      </c>
      <c r="I59" s="3">
        <v>764.46</v>
      </c>
      <c r="L59" s="25">
        <f t="shared" si="1"/>
        <v>764.46</v>
      </c>
      <c r="N59" s="6">
        <v>1</v>
      </c>
    </row>
    <row r="60" spans="1:16" x14ac:dyDescent="0.2">
      <c r="A60">
        <v>602</v>
      </c>
      <c r="B60">
        <v>49490</v>
      </c>
      <c r="C60">
        <v>208</v>
      </c>
      <c r="D60" s="39"/>
      <c r="E60" s="42" t="s">
        <v>85</v>
      </c>
      <c r="G60" s="26">
        <v>189.63</v>
      </c>
      <c r="I60" s="3">
        <v>338.81</v>
      </c>
      <c r="L60" s="25">
        <f t="shared" si="1"/>
        <v>338.81</v>
      </c>
      <c r="N60" s="6">
        <v>3</v>
      </c>
      <c r="O60" s="3">
        <f>SUM(L60:L61)</f>
        <v>3158.81</v>
      </c>
      <c r="P60" s="3" t="s">
        <v>91</v>
      </c>
    </row>
    <row r="61" spans="1:16" x14ac:dyDescent="0.2">
      <c r="A61">
        <v>602</v>
      </c>
      <c r="B61">
        <v>49490</v>
      </c>
      <c r="C61">
        <v>216</v>
      </c>
      <c r="D61" s="39"/>
      <c r="E61" s="42" t="s">
        <v>86</v>
      </c>
      <c r="G61" s="26">
        <v>3235</v>
      </c>
      <c r="I61" s="3">
        <v>2820</v>
      </c>
      <c r="L61" s="25">
        <f t="shared" si="1"/>
        <v>2820</v>
      </c>
      <c r="N61" s="6">
        <v>3</v>
      </c>
      <c r="O61"/>
      <c r="P61"/>
    </row>
    <row r="62" spans="1:16" x14ac:dyDescent="0.2">
      <c r="A62">
        <v>602</v>
      </c>
      <c r="B62">
        <v>49490</v>
      </c>
      <c r="C62">
        <v>228</v>
      </c>
      <c r="D62" s="39"/>
      <c r="E62" s="42" t="s">
        <v>102</v>
      </c>
      <c r="G62" s="26">
        <v>5833.45</v>
      </c>
      <c r="I62" s="3">
        <v>20504.88</v>
      </c>
      <c r="L62" s="25">
        <f t="shared" si="1"/>
        <v>20504.88</v>
      </c>
      <c r="N62" s="6">
        <v>5</v>
      </c>
      <c r="O62" s="3">
        <f>+L62</f>
        <v>20504.88</v>
      </c>
      <c r="P62" t="s">
        <v>133</v>
      </c>
    </row>
    <row r="63" spans="1:16" x14ac:dyDescent="0.2">
      <c r="A63">
        <v>602</v>
      </c>
      <c r="B63">
        <v>49490</v>
      </c>
      <c r="C63">
        <v>300</v>
      </c>
      <c r="D63" s="39"/>
      <c r="E63" s="42" t="s">
        <v>78</v>
      </c>
      <c r="G63" s="26">
        <v>0</v>
      </c>
      <c r="L63" s="25">
        <f t="shared" si="1"/>
        <v>0</v>
      </c>
      <c r="N63" s="6">
        <v>6</v>
      </c>
      <c r="O63" s="3">
        <f>SUM(L63:L65,L75)</f>
        <v>3407.25</v>
      </c>
      <c r="P63" t="s">
        <v>104</v>
      </c>
    </row>
    <row r="64" spans="1:16" x14ac:dyDescent="0.2">
      <c r="A64">
        <v>602</v>
      </c>
      <c r="B64">
        <v>49490</v>
      </c>
      <c r="C64">
        <v>303</v>
      </c>
      <c r="D64" s="39"/>
      <c r="E64" s="42" t="s">
        <v>149</v>
      </c>
      <c r="G64" s="26">
        <v>1134</v>
      </c>
      <c r="L64" s="25">
        <f t="shared" si="1"/>
        <v>0</v>
      </c>
      <c r="N64" s="6">
        <v>6</v>
      </c>
      <c r="P64"/>
    </row>
    <row r="65" spans="1:16" x14ac:dyDescent="0.2">
      <c r="A65">
        <v>602</v>
      </c>
      <c r="B65">
        <v>49490</v>
      </c>
      <c r="C65">
        <v>309</v>
      </c>
      <c r="D65" s="39"/>
      <c r="E65" s="42" t="s">
        <v>78</v>
      </c>
      <c r="G65" s="26">
        <v>549.95000000000005</v>
      </c>
      <c r="I65" s="3">
        <v>1876.45</v>
      </c>
      <c r="L65" s="25">
        <f t="shared" si="1"/>
        <v>1876.45</v>
      </c>
      <c r="N65" s="6">
        <v>6</v>
      </c>
      <c r="P65"/>
    </row>
    <row r="66" spans="1:16" x14ac:dyDescent="0.2">
      <c r="A66">
        <v>602</v>
      </c>
      <c r="B66">
        <v>49490</v>
      </c>
      <c r="C66">
        <v>310</v>
      </c>
      <c r="D66" s="39"/>
      <c r="E66" s="42" t="s">
        <v>211</v>
      </c>
      <c r="G66" s="26">
        <v>281.39</v>
      </c>
      <c r="I66" s="3">
        <v>492.34</v>
      </c>
      <c r="L66" s="25">
        <f t="shared" si="1"/>
        <v>492.34</v>
      </c>
      <c r="N66" s="6">
        <v>8</v>
      </c>
      <c r="P66"/>
    </row>
    <row r="67" spans="1:16" x14ac:dyDescent="0.2">
      <c r="A67">
        <v>602</v>
      </c>
      <c r="B67">
        <v>49490</v>
      </c>
      <c r="C67">
        <v>321</v>
      </c>
      <c r="D67" s="39"/>
      <c r="E67" s="42" t="s">
        <v>96</v>
      </c>
      <c r="G67" s="26">
        <v>709.43</v>
      </c>
      <c r="I67" s="3">
        <v>464.03</v>
      </c>
      <c r="L67" s="25">
        <f t="shared" si="1"/>
        <v>464.03</v>
      </c>
      <c r="N67" s="6">
        <v>8</v>
      </c>
      <c r="O67" s="3">
        <f>SUM(L66:L71,L76:L78)</f>
        <v>2871.33</v>
      </c>
      <c r="P67" t="s">
        <v>43</v>
      </c>
    </row>
    <row r="68" spans="1:16" x14ac:dyDescent="0.2">
      <c r="A68">
        <v>602</v>
      </c>
      <c r="B68">
        <v>49490</v>
      </c>
      <c r="C68">
        <v>322</v>
      </c>
      <c r="D68" s="39"/>
      <c r="E68" s="42" t="s">
        <v>82</v>
      </c>
      <c r="G68" s="26">
        <v>678.57</v>
      </c>
      <c r="I68" s="3">
        <v>678.84</v>
      </c>
      <c r="L68" s="25">
        <f t="shared" si="1"/>
        <v>678.84</v>
      </c>
      <c r="N68" s="6">
        <v>8</v>
      </c>
      <c r="P68"/>
    </row>
    <row r="69" spans="1:16" x14ac:dyDescent="0.2">
      <c r="A69">
        <v>602</v>
      </c>
      <c r="B69">
        <v>49490</v>
      </c>
      <c r="C69">
        <v>325</v>
      </c>
      <c r="D69" s="39"/>
      <c r="E69" s="42" t="s">
        <v>337</v>
      </c>
      <c r="G69" s="26">
        <v>0</v>
      </c>
      <c r="I69" s="3">
        <v>116.67</v>
      </c>
      <c r="L69" s="25">
        <f t="shared" si="1"/>
        <v>116.67</v>
      </c>
      <c r="P69"/>
    </row>
    <row r="70" spans="1:16" x14ac:dyDescent="0.2">
      <c r="A70">
        <v>602</v>
      </c>
      <c r="B70">
        <v>49490</v>
      </c>
      <c r="C70">
        <v>331</v>
      </c>
      <c r="D70" s="39"/>
      <c r="E70" s="42" t="s">
        <v>146</v>
      </c>
      <c r="G70" s="26"/>
      <c r="I70" s="3">
        <v>61.64</v>
      </c>
      <c r="L70" s="25">
        <f t="shared" si="1"/>
        <v>61.64</v>
      </c>
      <c r="P70"/>
    </row>
    <row r="71" spans="1:16" x14ac:dyDescent="0.2">
      <c r="A71">
        <v>602</v>
      </c>
      <c r="B71">
        <v>49490</v>
      </c>
      <c r="C71">
        <v>334</v>
      </c>
      <c r="D71" s="39"/>
      <c r="E71" s="42" t="s">
        <v>224</v>
      </c>
      <c r="G71" s="26">
        <v>203.18</v>
      </c>
      <c r="I71" s="3">
        <v>0</v>
      </c>
      <c r="L71" s="25">
        <f t="shared" si="1"/>
        <v>0</v>
      </c>
      <c r="N71" s="6">
        <v>8</v>
      </c>
      <c r="P71"/>
    </row>
    <row r="72" spans="1:16" x14ac:dyDescent="0.2">
      <c r="A72">
        <v>602</v>
      </c>
      <c r="B72">
        <v>49490</v>
      </c>
      <c r="C72">
        <v>365</v>
      </c>
      <c r="D72" s="39"/>
      <c r="E72" s="42" t="s">
        <v>275</v>
      </c>
      <c r="G72" s="26">
        <v>632</v>
      </c>
      <c r="I72" s="3">
        <v>632</v>
      </c>
      <c r="L72" s="25">
        <f t="shared" si="1"/>
        <v>632</v>
      </c>
      <c r="N72" s="6">
        <v>1</v>
      </c>
    </row>
    <row r="73" spans="1:16" x14ac:dyDescent="0.2">
      <c r="A73">
        <v>602</v>
      </c>
      <c r="B73">
        <v>49490</v>
      </c>
      <c r="C73">
        <v>366</v>
      </c>
      <c r="D73" s="39"/>
      <c r="E73" s="42" t="s">
        <v>77</v>
      </c>
      <c r="G73" s="26">
        <v>1442</v>
      </c>
      <c r="I73" s="3">
        <v>1442</v>
      </c>
      <c r="L73" s="25">
        <f t="shared" si="1"/>
        <v>1442</v>
      </c>
      <c r="N73" s="6">
        <v>2</v>
      </c>
      <c r="O73" s="3">
        <f>+L73</f>
        <v>1442</v>
      </c>
      <c r="P73" t="s">
        <v>77</v>
      </c>
    </row>
    <row r="74" spans="1:16" x14ac:dyDescent="0.2">
      <c r="A74">
        <v>602</v>
      </c>
      <c r="B74">
        <v>49490</v>
      </c>
      <c r="C74">
        <v>381</v>
      </c>
      <c r="D74" s="39"/>
      <c r="E74" s="42" t="s">
        <v>84</v>
      </c>
      <c r="G74" s="26">
        <v>610.74</v>
      </c>
      <c r="I74" s="3">
        <v>620.17999999999995</v>
      </c>
      <c r="L74" s="25">
        <f t="shared" si="1"/>
        <v>620.17999999999995</v>
      </c>
      <c r="N74" s="6">
        <v>7</v>
      </c>
      <c r="O74" s="3">
        <f>L74</f>
        <v>620.17999999999995</v>
      </c>
      <c r="P74" t="s">
        <v>76</v>
      </c>
    </row>
    <row r="75" spans="1:16" x14ac:dyDescent="0.2">
      <c r="A75">
        <v>602</v>
      </c>
      <c r="B75">
        <v>49490</v>
      </c>
      <c r="C75">
        <v>386</v>
      </c>
      <c r="D75" s="39"/>
      <c r="E75" s="42" t="s">
        <v>288</v>
      </c>
      <c r="G75" s="26">
        <v>2076.54</v>
      </c>
      <c r="I75" s="3">
        <v>1530.8</v>
      </c>
      <c r="L75" s="25">
        <f t="shared" si="1"/>
        <v>1530.8</v>
      </c>
      <c r="N75" s="6">
        <v>6</v>
      </c>
      <c r="P75"/>
    </row>
    <row r="76" spans="1:16" x14ac:dyDescent="0.2">
      <c r="A76">
        <v>602</v>
      </c>
      <c r="B76">
        <v>49490</v>
      </c>
      <c r="C76">
        <v>388</v>
      </c>
      <c r="D76" s="43"/>
      <c r="E76" s="42" t="s">
        <v>289</v>
      </c>
      <c r="G76" s="26">
        <v>684.24</v>
      </c>
      <c r="I76" s="3">
        <v>737.32</v>
      </c>
      <c r="L76" s="25">
        <f t="shared" si="1"/>
        <v>737.32</v>
      </c>
      <c r="N76" s="6">
        <v>8</v>
      </c>
      <c r="P76"/>
    </row>
    <row r="77" spans="1:16" x14ac:dyDescent="0.2">
      <c r="A77">
        <v>602</v>
      </c>
      <c r="B77">
        <v>49490</v>
      </c>
      <c r="C77">
        <v>432</v>
      </c>
      <c r="D77" s="43"/>
      <c r="E77" s="42" t="s">
        <v>344</v>
      </c>
      <c r="G77" s="26">
        <v>0</v>
      </c>
      <c r="I77" s="3">
        <v>87</v>
      </c>
      <c r="L77" s="25">
        <f t="shared" si="1"/>
        <v>87</v>
      </c>
      <c r="P77"/>
    </row>
    <row r="78" spans="1:16" x14ac:dyDescent="0.2">
      <c r="A78">
        <v>602</v>
      </c>
      <c r="B78">
        <v>49490</v>
      </c>
      <c r="C78">
        <v>433</v>
      </c>
      <c r="D78" s="39"/>
      <c r="E78" s="42" t="s">
        <v>97</v>
      </c>
      <c r="G78" s="26">
        <v>210</v>
      </c>
      <c r="I78" s="26">
        <v>233.49</v>
      </c>
      <c r="J78" s="26"/>
      <c r="K78" s="26"/>
      <c r="L78" s="25">
        <f t="shared" si="1"/>
        <v>233.49</v>
      </c>
      <c r="N78" s="6">
        <v>8</v>
      </c>
      <c r="O78"/>
      <c r="P78"/>
    </row>
    <row r="79" spans="1:16" x14ac:dyDescent="0.2">
      <c r="D79" s="39"/>
      <c r="E79" s="42"/>
      <c r="G79" s="26"/>
      <c r="I79" s="26"/>
      <c r="J79" s="26"/>
      <c r="K79" s="26"/>
      <c r="L79" s="25"/>
      <c r="O79"/>
      <c r="P79"/>
    </row>
    <row r="80" spans="1:16" x14ac:dyDescent="0.2">
      <c r="D80" s="39"/>
      <c r="E80" s="47"/>
      <c r="G80" s="34"/>
      <c r="I80" s="34"/>
      <c r="J80" s="34"/>
      <c r="K80" s="34"/>
      <c r="L80" s="25"/>
    </row>
    <row r="81" spans="4:15" x14ac:dyDescent="0.2">
      <c r="D81" s="23"/>
      <c r="E81" s="24"/>
      <c r="G81" s="29">
        <f>SUM(G45:G80)</f>
        <v>40496.659999999996</v>
      </c>
      <c r="H81" s="29">
        <f>SUM(H80:H80)</f>
        <v>0</v>
      </c>
      <c r="I81" s="29">
        <f>SUM(I45:I80)</f>
        <v>62585.569999999985</v>
      </c>
      <c r="J81" s="29">
        <f>SUM(J45:J80)</f>
        <v>0</v>
      </c>
      <c r="K81" s="29">
        <f>SUM(K45:K80)</f>
        <v>0</v>
      </c>
      <c r="L81" s="29">
        <f>SUM(L45:L80)</f>
        <v>62585.569999999985</v>
      </c>
      <c r="O81" s="30">
        <f>SUM(O47:O80)</f>
        <v>62585.57</v>
      </c>
    </row>
    <row r="82" spans="4:15" x14ac:dyDescent="0.2">
      <c r="D82" s="23"/>
      <c r="G82" s="28"/>
      <c r="I82" s="28"/>
      <c r="J82" s="28"/>
      <c r="K82" s="28"/>
      <c r="L82" s="28"/>
    </row>
    <row r="83" spans="4:15" x14ac:dyDescent="0.2">
      <c r="E83" s="24" t="s">
        <v>20</v>
      </c>
      <c r="G83" s="29">
        <f>+G81+G41</f>
        <v>-40199.879999999997</v>
      </c>
      <c r="I83" s="29">
        <f>+I81+I41</f>
        <v>-27043.740000000013</v>
      </c>
      <c r="J83" s="29">
        <f>+J81+J41</f>
        <v>0</v>
      </c>
      <c r="K83" s="29">
        <f>+K81+K41</f>
        <v>0</v>
      </c>
      <c r="L83" s="29">
        <f>+L81+L41</f>
        <v>-27043.740000000013</v>
      </c>
    </row>
    <row r="84" spans="4:15" x14ac:dyDescent="0.2">
      <c r="E84" s="24"/>
      <c r="G84" s="35"/>
      <c r="I84" s="35"/>
      <c r="J84" s="35"/>
      <c r="K84" s="35"/>
      <c r="L84" s="35"/>
    </row>
    <row r="85" spans="4:15" x14ac:dyDescent="0.2">
      <c r="E85" s="24"/>
      <c r="G85" s="26"/>
      <c r="I85" s="26"/>
      <c r="J85" s="26"/>
      <c r="K85" s="67" t="s">
        <v>21</v>
      </c>
      <c r="L85" s="36">
        <f>+L83+L16</f>
        <v>0</v>
      </c>
    </row>
    <row r="86" spans="4:15" x14ac:dyDescent="0.2">
      <c r="G86" s="34"/>
      <c r="I86" s="34"/>
      <c r="J86" s="34"/>
      <c r="K86" s="34"/>
      <c r="L86" s="22"/>
    </row>
  </sheetData>
  <sortState xmlns:xlrd2="http://schemas.microsoft.com/office/spreadsheetml/2017/richdata2" ref="A51:P78">
    <sortCondition ref="C51:C78"/>
  </sortState>
  <mergeCells count="4">
    <mergeCell ref="A2:B2"/>
    <mergeCell ref="A6:C6"/>
    <mergeCell ref="J6:K6"/>
    <mergeCell ref="A3:B3"/>
  </mergeCells>
  <printOptions gridLines="1"/>
  <pageMargins left="0.7" right="0.7" top="0.75" bottom="0.75" header="0.3" footer="0.3"/>
  <pageSetup scale="59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  <pageSetUpPr fitToPage="1"/>
  </sheetPr>
  <dimension ref="A1:O24"/>
  <sheetViews>
    <sheetView workbookViewId="0">
      <selection activeCell="H26" sqref="H26"/>
    </sheetView>
  </sheetViews>
  <sheetFormatPr defaultColWidth="9.140625" defaultRowHeight="12.75" x14ac:dyDescent="0.2"/>
  <cols>
    <col min="2" max="2" width="23.28515625" bestFit="1" customWidth="1"/>
    <col min="3" max="3" width="15.5703125" bestFit="1" customWidth="1"/>
    <col min="4" max="4" width="1.7109375" customWidth="1"/>
    <col min="5" max="5" width="11.85546875" bestFit="1" customWidth="1"/>
    <col min="6" max="6" width="1.7109375" customWidth="1"/>
    <col min="7" max="7" width="11.85546875" bestFit="1" customWidth="1"/>
    <col min="8" max="8" width="13.5703125" bestFit="1" customWidth="1"/>
    <col min="9" max="9" width="2.28515625" customWidth="1"/>
    <col min="10" max="10" width="13.5703125" bestFit="1" customWidth="1"/>
    <col min="11" max="11" width="1.7109375" customWidth="1"/>
    <col min="12" max="12" width="11.85546875" bestFit="1" customWidth="1"/>
    <col min="13" max="13" width="1.7109375" customWidth="1"/>
    <col min="14" max="14" width="11.85546875" bestFit="1" customWidth="1"/>
    <col min="15" max="15" width="13.5703125" bestFit="1" customWidth="1"/>
  </cols>
  <sheetData>
    <row r="1" spans="1:15" x14ac:dyDescent="0.2">
      <c r="A1" s="57"/>
      <c r="E1" s="58" t="s">
        <v>194</v>
      </c>
    </row>
    <row r="2" spans="1:15" x14ac:dyDescent="0.2">
      <c r="A2" s="10"/>
      <c r="E2" s="58" t="s">
        <v>125</v>
      </c>
    </row>
    <row r="3" spans="1:15" x14ac:dyDescent="0.2">
      <c r="E3" s="59">
        <f>+General!G4</f>
        <v>45657</v>
      </c>
    </row>
    <row r="4" spans="1:15" x14ac:dyDescent="0.2">
      <c r="C4" s="60"/>
    </row>
    <row r="5" spans="1:15" x14ac:dyDescent="0.2">
      <c r="C5" s="94" t="s">
        <v>325</v>
      </c>
      <c r="D5" s="94"/>
      <c r="E5" s="94"/>
      <c r="F5" s="94"/>
      <c r="G5" s="94"/>
      <c r="H5" s="94"/>
      <c r="J5" s="94" t="s">
        <v>296</v>
      </c>
      <c r="K5" s="94"/>
      <c r="L5" s="94"/>
      <c r="M5" s="94"/>
      <c r="N5" s="94"/>
      <c r="O5" s="94"/>
    </row>
    <row r="6" spans="1:15" x14ac:dyDescent="0.2">
      <c r="C6" s="93" t="s">
        <v>171</v>
      </c>
      <c r="D6" s="93"/>
      <c r="E6" s="93"/>
      <c r="F6" s="93"/>
      <c r="G6" s="93"/>
      <c r="H6" s="93"/>
      <c r="J6" s="93" t="s">
        <v>171</v>
      </c>
      <c r="K6" s="93"/>
      <c r="L6" s="93"/>
      <c r="M6" s="93"/>
      <c r="N6" s="93"/>
      <c r="O6" s="93"/>
    </row>
    <row r="7" spans="1:15" x14ac:dyDescent="0.2">
      <c r="C7" s="68" t="s">
        <v>294</v>
      </c>
      <c r="E7" s="69" t="s">
        <v>111</v>
      </c>
      <c r="G7" s="69" t="s">
        <v>295</v>
      </c>
      <c r="H7" s="62" t="s">
        <v>19</v>
      </c>
      <c r="J7" s="68" t="s">
        <v>173</v>
      </c>
      <c r="L7" s="69" t="s">
        <v>111</v>
      </c>
      <c r="N7" s="69" t="s">
        <v>172</v>
      </c>
      <c r="O7" s="62" t="s">
        <v>19</v>
      </c>
    </row>
    <row r="8" spans="1:15" x14ac:dyDescent="0.2">
      <c r="A8" s="6">
        <v>100</v>
      </c>
      <c r="B8" t="s">
        <v>126</v>
      </c>
      <c r="C8" s="3">
        <f>+General!L9</f>
        <v>86432.37999999999</v>
      </c>
      <c r="E8" s="3"/>
      <c r="G8" s="3">
        <f>+General!L16+General!L17+General!L14+General!L18</f>
        <v>691964.49</v>
      </c>
      <c r="J8" s="3">
        <f>+General!G9</f>
        <v>-94567.179999999949</v>
      </c>
      <c r="L8" s="3"/>
      <c r="N8" s="3">
        <f>General!G16+General!G17+General!G14</f>
        <v>676337.15999999992</v>
      </c>
    </row>
    <row r="9" spans="1:15" x14ac:dyDescent="0.2">
      <c r="A9" s="6">
        <v>203</v>
      </c>
      <c r="B9" t="s">
        <v>290</v>
      </c>
      <c r="C9" s="3">
        <f>General!L11</f>
        <v>-1758</v>
      </c>
      <c r="E9" s="3">
        <v>0</v>
      </c>
      <c r="G9" s="3">
        <v>0</v>
      </c>
      <c r="J9" s="3">
        <f>General!G11</f>
        <v>67805.81</v>
      </c>
      <c r="L9" s="3">
        <v>0</v>
      </c>
      <c r="N9" s="3">
        <v>0</v>
      </c>
    </row>
    <row r="10" spans="1:15" x14ac:dyDescent="0.2">
      <c r="A10" s="6">
        <v>225</v>
      </c>
      <c r="B10" t="s">
        <v>90</v>
      </c>
      <c r="C10" s="3">
        <f>+'Fire Operating-SR'!L8</f>
        <v>90424.289999999979</v>
      </c>
      <c r="E10" s="3">
        <v>0</v>
      </c>
      <c r="G10" s="3">
        <f>'Fire - Capital Project'!L10</f>
        <v>137973.45000000001</v>
      </c>
      <c r="J10" s="3">
        <f>+'Fire Operating-SR'!G8</f>
        <v>143432.5</v>
      </c>
      <c r="L10" s="3">
        <v>0</v>
      </c>
      <c r="N10" s="3">
        <f>'Fire - Capital Project'!G9</f>
        <v>67397.66</v>
      </c>
    </row>
    <row r="11" spans="1:15" x14ac:dyDescent="0.2">
      <c r="A11" s="6">
        <v>303</v>
      </c>
      <c r="B11" t="s">
        <v>127</v>
      </c>
      <c r="C11" s="3">
        <f>'Water-Prop'!L8</f>
        <v>-2305.2799999999988</v>
      </c>
      <c r="G11" s="3"/>
      <c r="J11" s="3">
        <f>'Water-Prop'!G8</f>
        <v>23632.400000000001</v>
      </c>
      <c r="N11" s="3">
        <v>0</v>
      </c>
    </row>
    <row r="12" spans="1:15" x14ac:dyDescent="0.2">
      <c r="A12" s="6">
        <v>601</v>
      </c>
      <c r="B12" t="s">
        <v>127</v>
      </c>
      <c r="C12" s="3">
        <f>+'Water-Prop'!L10</f>
        <v>183328.12</v>
      </c>
      <c r="G12" s="3">
        <v>0</v>
      </c>
      <c r="J12" s="3">
        <f>+'Water-Prop'!G10</f>
        <v>115724.41</v>
      </c>
      <c r="N12" s="3">
        <v>0</v>
      </c>
    </row>
    <row r="13" spans="1:15" x14ac:dyDescent="0.2">
      <c r="A13" s="6">
        <v>602</v>
      </c>
      <c r="B13" t="s">
        <v>128</v>
      </c>
      <c r="C13" s="3">
        <f>+'Sewer-Prop'!L8</f>
        <v>372203.27999999997</v>
      </c>
      <c r="G13" s="3">
        <v>0</v>
      </c>
      <c r="J13" s="3">
        <f>+'Sewer-Prop'!G8</f>
        <v>345159.54</v>
      </c>
      <c r="N13" s="3">
        <v>0</v>
      </c>
    </row>
    <row r="14" spans="1:15" x14ac:dyDescent="0.2">
      <c r="C14" s="63">
        <f>SUM(C8:C13)</f>
        <v>728324.79</v>
      </c>
      <c r="D14" s="61"/>
      <c r="E14" s="63">
        <f>SUM(E8:E13)</f>
        <v>0</v>
      </c>
      <c r="F14" s="61"/>
      <c r="G14" s="63">
        <f>SUM(G8:G13)</f>
        <v>829937.94</v>
      </c>
      <c r="H14" s="30">
        <f>SUM(C14:G14)</f>
        <v>1558262.73</v>
      </c>
      <c r="J14" s="63">
        <f>SUM(J8:J13)</f>
        <v>601187.48</v>
      </c>
      <c r="K14" s="61"/>
      <c r="L14" s="63">
        <f>SUM(L8:L13)</f>
        <v>0</v>
      </c>
      <c r="M14" s="61"/>
      <c r="N14" s="63">
        <f>SUM(N8:N13)</f>
        <v>743734.82</v>
      </c>
      <c r="O14" s="30">
        <f>SUM(J14:N14)</f>
        <v>1344922.2999999998</v>
      </c>
    </row>
    <row r="15" spans="1:15" x14ac:dyDescent="0.2">
      <c r="A15" s="71" t="s">
        <v>166</v>
      </c>
      <c r="C15" s="61">
        <v>728324.79</v>
      </c>
      <c r="D15" s="61"/>
      <c r="E15" s="61"/>
      <c r="F15" s="61"/>
      <c r="G15" s="61">
        <v>829937.94</v>
      </c>
      <c r="H15" s="61">
        <f>SUM(C15:G15)</f>
        <v>1558262.73</v>
      </c>
      <c r="J15" s="61">
        <v>601187.48</v>
      </c>
      <c r="K15" s="61"/>
      <c r="L15" s="61"/>
      <c r="M15" s="61"/>
      <c r="N15" s="61">
        <v>743734.82</v>
      </c>
      <c r="O15" s="61">
        <f>SUM(J15:N15)</f>
        <v>1344922.2999999998</v>
      </c>
    </row>
    <row r="16" spans="1:15" x14ac:dyDescent="0.2">
      <c r="A16" s="71" t="s">
        <v>186</v>
      </c>
      <c r="C16" s="79">
        <f>+C14-C15</f>
        <v>0</v>
      </c>
      <c r="D16" s="63"/>
      <c r="E16" s="63"/>
      <c r="F16" s="63"/>
      <c r="G16" s="79">
        <f>+G14-G15</f>
        <v>0</v>
      </c>
      <c r="H16" s="63"/>
      <c r="J16" s="63">
        <f>+J14-J15</f>
        <v>0</v>
      </c>
      <c r="K16" s="63"/>
      <c r="L16" s="63"/>
      <c r="M16" s="63"/>
      <c r="N16" s="63">
        <f>N14-N15</f>
        <v>0</v>
      </c>
      <c r="O16" s="63"/>
    </row>
    <row r="18" spans="2:10" x14ac:dyDescent="0.2">
      <c r="B18" t="s">
        <v>326</v>
      </c>
      <c r="C18" s="48">
        <v>601187.48</v>
      </c>
    </row>
    <row r="19" spans="2:10" x14ac:dyDescent="0.2">
      <c r="B19" t="s">
        <v>327</v>
      </c>
      <c r="C19" s="48">
        <v>601167.48</v>
      </c>
    </row>
    <row r="20" spans="2:10" ht="13.5" thickBot="1" x14ac:dyDescent="0.25">
      <c r="B20" t="s">
        <v>167</v>
      </c>
      <c r="C20" s="50">
        <f>+C19-C18</f>
        <v>-20</v>
      </c>
      <c r="D20" s="77"/>
      <c r="J20" s="3"/>
    </row>
    <row r="21" spans="2:10" ht="13.5" thickTop="1" x14ac:dyDescent="0.2"/>
    <row r="23" spans="2:10" x14ac:dyDescent="0.2">
      <c r="D23" s="77"/>
    </row>
    <row r="24" spans="2:10" x14ac:dyDescent="0.2">
      <c r="D24" s="78"/>
    </row>
  </sheetData>
  <mergeCells count="4">
    <mergeCell ref="C6:H6"/>
    <mergeCell ref="C5:H5"/>
    <mergeCell ref="J5:O5"/>
    <mergeCell ref="J6:O6"/>
  </mergeCells>
  <printOptions gridLines="1"/>
  <pageMargins left="0.7" right="0.7" top="0.75" bottom="0.75" header="0.3" footer="0.3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8CE227C16B408A3357DCAEFBBFE5" ma:contentTypeVersion="0" ma:contentTypeDescription="Create a new document." ma:contentTypeScope="" ma:versionID="8dd674242af76edb41ff9d5cbedd3c5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76EF781-C215-45F3-9C99-94A64BA22B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991ECF-C3FB-4DD6-A5E8-23A0225A2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F09A474-60F8-4937-9363-07F21012830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General</vt:lpstr>
      <vt:lpstr>Fire Operating-SR</vt:lpstr>
      <vt:lpstr>Fire - Capital Project</vt:lpstr>
      <vt:lpstr>Debt Service Fund</vt:lpstr>
      <vt:lpstr>Water-Prop</vt:lpstr>
      <vt:lpstr>Sewer-Prop</vt:lpstr>
      <vt:lpstr>Cash Recap</vt:lpstr>
      <vt:lpstr>'Fire Operating-SR'!Print_Area</vt:lpstr>
      <vt:lpstr>'Fire Operating-SR'!Print_Titles</vt:lpstr>
      <vt:lpstr>General!Print_Titles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sschiessl</dc:creator>
  <cp:lastModifiedBy>Susan Schiessl</cp:lastModifiedBy>
  <cp:lastPrinted>2023-06-16T16:58:14Z</cp:lastPrinted>
  <dcterms:created xsi:type="dcterms:W3CDTF">2013-08-02T15:41:59Z</dcterms:created>
  <dcterms:modified xsi:type="dcterms:W3CDTF">2025-04-29T18:09:30Z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0x0101006E648CE227C16B408A3357DCAEFBBFE5</vt:lpwstr>
  </property>
</Properties>
</file>